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119\Desktop\Atualização Orçamentária - 05.2024 - CMP\"/>
    </mc:Choice>
  </mc:AlternateContent>
  <xr:revisionPtr revIDLastSave="0" documentId="13_ncr:1_{64BAACDC-AA60-40EB-946F-45BA71DFF1F5}" xr6:coauthVersionLast="47" xr6:coauthVersionMax="47" xr10:uidLastSave="{00000000-0000-0000-0000-000000000000}"/>
  <bookViews>
    <workbookView xWindow="-120" yWindow="-120" windowWidth="20730" windowHeight="11040" tabRatio="806" xr2:uid="{00000000-000D-0000-FFFF-FFFF00000000}"/>
  </bookViews>
  <sheets>
    <sheet name="Planilha Sintética" sheetId="8" r:id="rId1"/>
    <sheet name="Planilha Analítica" sheetId="2" r:id="rId2"/>
    <sheet name="Planilha de Composição" sheetId="1" r:id="rId3"/>
    <sheet name="Cálculo do BDI" sheetId="5" r:id="rId4"/>
    <sheet name="Curva ABC de Insumos" sheetId="3" r:id="rId5"/>
    <sheet name="Cronograma Físico-Financeiro" sheetId="6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3" l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J39" i="3"/>
  <c r="I114" i="3"/>
  <c r="H114" i="3"/>
  <c r="I110" i="3" s="1"/>
  <c r="C33" i="6"/>
  <c r="F32" i="6"/>
  <c r="E32" i="6"/>
  <c r="D32" i="6"/>
  <c r="C32" i="6"/>
  <c r="G31" i="6"/>
  <c r="F30" i="6"/>
  <c r="E30" i="6"/>
  <c r="D30" i="6"/>
  <c r="C30" i="6"/>
  <c r="B30" i="6"/>
  <c r="A30" i="6"/>
  <c r="G29" i="6"/>
  <c r="F28" i="6"/>
  <c r="E28" i="6"/>
  <c r="D28" i="6"/>
  <c r="C28" i="6"/>
  <c r="B28" i="6"/>
  <c r="A28" i="6"/>
  <c r="G27" i="6"/>
  <c r="F26" i="6"/>
  <c r="E26" i="6"/>
  <c r="D26" i="6"/>
  <c r="C26" i="6"/>
  <c r="B26" i="6"/>
  <c r="A26" i="6"/>
  <c r="G25" i="6"/>
  <c r="F24" i="6"/>
  <c r="E24" i="6"/>
  <c r="D24" i="6"/>
  <c r="C24" i="6"/>
  <c r="B24" i="6"/>
  <c r="A24" i="6"/>
  <c r="G23" i="6"/>
  <c r="F22" i="6"/>
  <c r="E22" i="6"/>
  <c r="D22" i="6"/>
  <c r="C22" i="6"/>
  <c r="B22" i="6"/>
  <c r="A22" i="6"/>
  <c r="G21" i="6"/>
  <c r="F20" i="6"/>
  <c r="E20" i="6"/>
  <c r="D20" i="6"/>
  <c r="C20" i="6"/>
  <c r="B20" i="6"/>
  <c r="A20" i="6"/>
  <c r="G19" i="6"/>
  <c r="F18" i="6"/>
  <c r="E18" i="6"/>
  <c r="D18" i="6"/>
  <c r="C18" i="6"/>
  <c r="B18" i="6"/>
  <c r="A18" i="6"/>
  <c r="G17" i="6"/>
  <c r="F16" i="6"/>
  <c r="E16" i="6"/>
  <c r="D16" i="6"/>
  <c r="C16" i="6"/>
  <c r="B16" i="6"/>
  <c r="A16" i="6"/>
  <c r="I113" i="3"/>
  <c r="I112" i="3"/>
  <c r="I111" i="3"/>
  <c r="I108" i="3"/>
  <c r="I107" i="3"/>
  <c r="I106" i="3"/>
  <c r="I105" i="3"/>
  <c r="I104" i="3"/>
  <c r="I103" i="3"/>
  <c r="I100" i="3"/>
  <c r="I99" i="3"/>
  <c r="I98" i="3"/>
  <c r="I97" i="3"/>
  <c r="I96" i="3"/>
  <c r="I95" i="3"/>
  <c r="I92" i="3"/>
  <c r="I91" i="3"/>
  <c r="I90" i="3"/>
  <c r="I89" i="3"/>
  <c r="I88" i="3"/>
  <c r="I85" i="3"/>
  <c r="I84" i="3"/>
  <c r="I83" i="3"/>
  <c r="I82" i="3"/>
  <c r="I81" i="3"/>
  <c r="I80" i="3"/>
  <c r="I77" i="3"/>
  <c r="I76" i="3"/>
  <c r="I75" i="3"/>
  <c r="I74" i="3"/>
  <c r="I73" i="3"/>
  <c r="I72" i="3"/>
  <c r="I69" i="3"/>
  <c r="I68" i="3"/>
  <c r="I67" i="3"/>
  <c r="I66" i="3"/>
  <c r="I65" i="3"/>
  <c r="I64" i="3"/>
  <c r="I61" i="3"/>
  <c r="I60" i="3"/>
  <c r="I59" i="3"/>
  <c r="I58" i="3"/>
  <c r="I57" i="3"/>
  <c r="I56" i="3"/>
  <c r="I55" i="3"/>
  <c r="I53" i="3"/>
  <c r="I52" i="3"/>
  <c r="I51" i="3"/>
  <c r="I50" i="3"/>
  <c r="I49" i="3"/>
  <c r="I48" i="3"/>
  <c r="I47" i="3"/>
  <c r="I45" i="3"/>
  <c r="I44" i="3"/>
  <c r="I43" i="3"/>
  <c r="I42" i="3"/>
  <c r="I41" i="3"/>
  <c r="I40" i="3"/>
  <c r="I39" i="3"/>
  <c r="B39" i="5"/>
  <c r="B38" i="5"/>
  <c r="B37" i="5"/>
  <c r="B36" i="5"/>
  <c r="B34" i="5"/>
  <c r="B29" i="5"/>
  <c r="B28" i="5"/>
  <c r="B25" i="5"/>
  <c r="B20" i="5"/>
  <c r="B15" i="5"/>
  <c r="B14" i="5"/>
  <c r="B11" i="5"/>
  <c r="T348" i="1"/>
  <c r="M348" i="1"/>
  <c r="S347" i="1"/>
  <c r="R346" i="1"/>
  <c r="R345" i="1"/>
  <c r="P344" i="1"/>
  <c r="N344" i="1"/>
  <c r="L344" i="1"/>
  <c r="P343" i="1"/>
  <c r="N343" i="1"/>
  <c r="K343" i="1"/>
  <c r="P342" i="1"/>
  <c r="N342" i="1"/>
  <c r="K342" i="1"/>
  <c r="I341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F340" i="1"/>
  <c r="I339" i="1"/>
  <c r="H338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I336" i="1"/>
  <c r="I335" i="1"/>
  <c r="I334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F333" i="1"/>
  <c r="I332" i="1"/>
  <c r="H332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F331" i="1"/>
  <c r="I330" i="1"/>
  <c r="I329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F328" i="1"/>
  <c r="I327" i="1"/>
  <c r="I326" i="1"/>
  <c r="H325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F324" i="1"/>
  <c r="I323" i="1"/>
  <c r="I322" i="1"/>
  <c r="H321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F320" i="1"/>
  <c r="I319" i="1"/>
  <c r="I318" i="1"/>
  <c r="H317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F316" i="1"/>
  <c r="I315" i="1"/>
  <c r="I314" i="1"/>
  <c r="H313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F312" i="1"/>
  <c r="I311" i="1"/>
  <c r="H311" i="1"/>
  <c r="I310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F309" i="1"/>
  <c r="I308" i="1"/>
  <c r="I307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F306" i="1"/>
  <c r="I305" i="1"/>
  <c r="I304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F303" i="1"/>
  <c r="H302" i="1"/>
  <c r="I301" i="1"/>
  <c r="I300" i="1"/>
  <c r="H299" i="1"/>
  <c r="H298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H296" i="1"/>
  <c r="H295" i="1"/>
  <c r="I294" i="1"/>
  <c r="I293" i="1"/>
  <c r="H292" i="1"/>
  <c r="H291" i="1"/>
  <c r="H290" i="1"/>
  <c r="H289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F288" i="1"/>
  <c r="H287" i="1"/>
  <c r="H286" i="1"/>
  <c r="I285" i="1"/>
  <c r="I284" i="1"/>
  <c r="H283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F282" i="1"/>
  <c r="T281" i="1"/>
  <c r="S281" i="1"/>
  <c r="R281" i="1"/>
  <c r="P281" i="1"/>
  <c r="N281" i="1"/>
  <c r="M281" i="1"/>
  <c r="L281" i="1"/>
  <c r="K281" i="1"/>
  <c r="I280" i="1"/>
  <c r="I279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F278" i="1"/>
  <c r="I277" i="1"/>
  <c r="I276" i="1"/>
  <c r="H275" i="1"/>
  <c r="H274" i="1"/>
  <c r="H273" i="1"/>
  <c r="H272" i="1"/>
  <c r="H271" i="1"/>
  <c r="H270" i="1"/>
  <c r="H269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F268" i="1"/>
  <c r="L267" i="1"/>
  <c r="I267" i="1"/>
  <c r="L266" i="1"/>
  <c r="I266" i="1"/>
  <c r="H265" i="1"/>
  <c r="H264" i="1"/>
  <c r="H263" i="1"/>
  <c r="H262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I260" i="1"/>
  <c r="H259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I257" i="1"/>
  <c r="I256" i="1"/>
  <c r="H255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F254" i="1"/>
  <c r="I253" i="1"/>
  <c r="F253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I251" i="1"/>
  <c r="F251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F250" i="1"/>
  <c r="I249" i="1"/>
  <c r="F249" i="1"/>
  <c r="I248" i="1"/>
  <c r="F248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F247" i="1"/>
  <c r="I246" i="1"/>
  <c r="F246" i="1"/>
  <c r="I245" i="1"/>
  <c r="F245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F244" i="1"/>
  <c r="T243" i="1"/>
  <c r="S243" i="1"/>
  <c r="R243" i="1"/>
  <c r="P243" i="1"/>
  <c r="N243" i="1"/>
  <c r="M243" i="1"/>
  <c r="L243" i="1"/>
  <c r="K243" i="1"/>
  <c r="I242" i="1"/>
  <c r="I241" i="1"/>
  <c r="H240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F239" i="1"/>
  <c r="I238" i="1"/>
  <c r="I237" i="1"/>
  <c r="H236" i="1"/>
  <c r="H235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F234" i="1"/>
  <c r="I233" i="1"/>
  <c r="I232" i="1"/>
  <c r="H231" i="1"/>
  <c r="H230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I228" i="1"/>
  <c r="I227" i="1"/>
  <c r="H226" i="1"/>
  <c r="H225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F224" i="1"/>
  <c r="I223" i="1"/>
  <c r="I222" i="1"/>
  <c r="H221" i="1"/>
  <c r="H220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F219" i="1"/>
  <c r="I218" i="1"/>
  <c r="I217" i="1"/>
  <c r="H216" i="1"/>
  <c r="H215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I213" i="1"/>
  <c r="I212" i="1"/>
  <c r="H211" i="1"/>
  <c r="H210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F209" i="1"/>
  <c r="I208" i="1"/>
  <c r="I207" i="1"/>
  <c r="H206" i="1"/>
  <c r="H205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F204" i="1"/>
  <c r="I203" i="1"/>
  <c r="I202" i="1"/>
  <c r="H201" i="1"/>
  <c r="H200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F199" i="1"/>
  <c r="I198" i="1"/>
  <c r="I197" i="1"/>
  <c r="H196" i="1"/>
  <c r="H195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F194" i="1"/>
  <c r="I193" i="1"/>
  <c r="I192" i="1"/>
  <c r="H191" i="1"/>
  <c r="H190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I188" i="1"/>
  <c r="I187" i="1"/>
  <c r="H186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F185" i="1"/>
  <c r="H184" i="1"/>
  <c r="I183" i="1"/>
  <c r="I182" i="1"/>
  <c r="H181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F180" i="1"/>
  <c r="T179" i="1"/>
  <c r="S179" i="1"/>
  <c r="R179" i="1"/>
  <c r="P179" i="1"/>
  <c r="N179" i="1"/>
  <c r="M179" i="1"/>
  <c r="L179" i="1"/>
  <c r="K179" i="1"/>
  <c r="I178" i="1"/>
  <c r="I177" i="1"/>
  <c r="H176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F175" i="1"/>
  <c r="I174" i="1"/>
  <c r="I173" i="1"/>
  <c r="H172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F171" i="1"/>
  <c r="I170" i="1"/>
  <c r="I169" i="1"/>
  <c r="H168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I166" i="1"/>
  <c r="I165" i="1"/>
  <c r="H164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F163" i="1"/>
  <c r="I162" i="1"/>
  <c r="I161" i="1"/>
  <c r="H160" i="1"/>
  <c r="H159" i="1"/>
  <c r="H158" i="1"/>
  <c r="H157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F156" i="1"/>
  <c r="T155" i="1"/>
  <c r="S155" i="1"/>
  <c r="R155" i="1"/>
  <c r="P155" i="1"/>
  <c r="N155" i="1"/>
  <c r="M155" i="1"/>
  <c r="L155" i="1"/>
  <c r="K155" i="1"/>
  <c r="I154" i="1"/>
  <c r="I153" i="1"/>
  <c r="H152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F151" i="1"/>
  <c r="I150" i="1"/>
  <c r="I149" i="1"/>
  <c r="H148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F147" i="1"/>
  <c r="I146" i="1"/>
  <c r="I145" i="1"/>
  <c r="H144" i="1"/>
  <c r="F144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F143" i="1"/>
  <c r="I142" i="1"/>
  <c r="I141" i="1"/>
  <c r="H140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F139" i="1"/>
  <c r="I138" i="1"/>
  <c r="I137" i="1"/>
  <c r="I136" i="1"/>
  <c r="H135" i="1"/>
  <c r="H134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F133" i="1"/>
  <c r="I132" i="1"/>
  <c r="I131" i="1"/>
  <c r="I130" i="1"/>
  <c r="H129" i="1"/>
  <c r="H128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F127" i="1"/>
  <c r="I126" i="1"/>
  <c r="I125" i="1"/>
  <c r="I124" i="1"/>
  <c r="H123" i="1"/>
  <c r="H122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F121" i="1"/>
  <c r="I120" i="1"/>
  <c r="I119" i="1"/>
  <c r="I118" i="1"/>
  <c r="H117" i="1"/>
  <c r="H116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F115" i="1"/>
  <c r="I114" i="1"/>
  <c r="I113" i="1"/>
  <c r="I112" i="1"/>
  <c r="H111" i="1"/>
  <c r="H110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F109" i="1"/>
  <c r="I108" i="1"/>
  <c r="I107" i="1"/>
  <c r="I106" i="1"/>
  <c r="H105" i="1"/>
  <c r="H104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F103" i="1"/>
  <c r="E103" i="1"/>
  <c r="I102" i="1"/>
  <c r="I101" i="1"/>
  <c r="I100" i="1"/>
  <c r="H99" i="1"/>
  <c r="H98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F97" i="1"/>
  <c r="I96" i="1"/>
  <c r="I95" i="1"/>
  <c r="I94" i="1"/>
  <c r="H93" i="1"/>
  <c r="H92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F91" i="1"/>
  <c r="I90" i="1"/>
  <c r="I89" i="1"/>
  <c r="I88" i="1"/>
  <c r="H87" i="1"/>
  <c r="H86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F85" i="1"/>
  <c r="T84" i="1"/>
  <c r="S84" i="1"/>
  <c r="R84" i="1"/>
  <c r="P84" i="1"/>
  <c r="N84" i="1"/>
  <c r="M84" i="1"/>
  <c r="L84" i="1"/>
  <c r="K84" i="1"/>
  <c r="I83" i="1"/>
  <c r="I82" i="1"/>
  <c r="H81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F80" i="1"/>
  <c r="I79" i="1"/>
  <c r="H78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F77" i="1"/>
  <c r="I76" i="1"/>
  <c r="H75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F74" i="1"/>
  <c r="I73" i="1"/>
  <c r="I72" i="1"/>
  <c r="H71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F70" i="1"/>
  <c r="I69" i="1"/>
  <c r="I68" i="1"/>
  <c r="H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F66" i="1"/>
  <c r="I65" i="1"/>
  <c r="I64" i="1"/>
  <c r="H63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F62" i="1"/>
  <c r="I61" i="1"/>
  <c r="I60" i="1"/>
  <c r="H59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F58" i="1"/>
  <c r="I57" i="1"/>
  <c r="I56" i="1"/>
  <c r="H55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F54" i="1"/>
  <c r="I53" i="1"/>
  <c r="I52" i="1"/>
  <c r="H51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F50" i="1"/>
  <c r="I49" i="1"/>
  <c r="I48" i="1"/>
  <c r="I47" i="1"/>
  <c r="H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I44" i="1"/>
  <c r="I43" i="1"/>
  <c r="I42" i="1"/>
  <c r="H41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F40" i="1"/>
  <c r="I39" i="1"/>
  <c r="I38" i="1"/>
  <c r="I37" i="1"/>
  <c r="H36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F35" i="1"/>
  <c r="I34" i="1"/>
  <c r="I33" i="1"/>
  <c r="I32" i="1"/>
  <c r="H31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F30" i="1"/>
  <c r="T29" i="1"/>
  <c r="S29" i="1"/>
  <c r="R29" i="1"/>
  <c r="P29" i="1"/>
  <c r="N29" i="1"/>
  <c r="M29" i="1"/>
  <c r="L29" i="1"/>
  <c r="K29" i="1"/>
  <c r="I28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F27" i="1"/>
  <c r="I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T24" i="1"/>
  <c r="S24" i="1"/>
  <c r="R24" i="1"/>
  <c r="P24" i="1"/>
  <c r="N24" i="1"/>
  <c r="M24" i="1"/>
  <c r="L24" i="1"/>
  <c r="K24" i="1"/>
  <c r="H23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F22" i="1"/>
  <c r="I21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I19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F18" i="1"/>
  <c r="I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F16" i="1"/>
  <c r="H15" i="1"/>
  <c r="H14" i="1"/>
  <c r="I13" i="1"/>
  <c r="I12" i="1"/>
  <c r="H11" i="1"/>
  <c r="H10" i="1"/>
  <c r="H9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T7" i="1"/>
  <c r="S7" i="1"/>
  <c r="R7" i="1"/>
  <c r="P7" i="1"/>
  <c r="N7" i="1"/>
  <c r="M7" i="1"/>
  <c r="L7" i="1"/>
  <c r="K7" i="1"/>
  <c r="K5" i="1"/>
  <c r="J5" i="1"/>
  <c r="T96" i="2"/>
  <c r="L96" i="2"/>
  <c r="S95" i="2"/>
  <c r="R94" i="2"/>
  <c r="R93" i="2"/>
  <c r="M92" i="2"/>
  <c r="K92" i="2"/>
  <c r="M91" i="2"/>
  <c r="J91" i="2"/>
  <c r="M90" i="2"/>
  <c r="J90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E89" i="2"/>
  <c r="D89" i="2"/>
  <c r="C89" i="2"/>
  <c r="B89" i="2"/>
  <c r="A89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E88" i="2"/>
  <c r="D88" i="2"/>
  <c r="C88" i="2"/>
  <c r="B88" i="2"/>
  <c r="A88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E87" i="2"/>
  <c r="D87" i="2"/>
  <c r="C87" i="2"/>
  <c r="B87" i="2"/>
  <c r="A87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E86" i="2"/>
  <c r="D86" i="2"/>
  <c r="C86" i="2"/>
  <c r="B86" i="2"/>
  <c r="A86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E85" i="2"/>
  <c r="D85" i="2"/>
  <c r="C85" i="2"/>
  <c r="B85" i="2"/>
  <c r="A85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E84" i="2"/>
  <c r="D84" i="2"/>
  <c r="C84" i="2"/>
  <c r="B84" i="2"/>
  <c r="A84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E83" i="2"/>
  <c r="D83" i="2"/>
  <c r="C83" i="2"/>
  <c r="B83" i="2"/>
  <c r="A83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E82" i="2"/>
  <c r="D82" i="2"/>
  <c r="C82" i="2"/>
  <c r="B82" i="2"/>
  <c r="A82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E81" i="2"/>
  <c r="D81" i="2"/>
  <c r="C81" i="2"/>
  <c r="B81" i="2"/>
  <c r="A81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E80" i="2"/>
  <c r="D80" i="2"/>
  <c r="C80" i="2"/>
  <c r="B80" i="2"/>
  <c r="A80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E79" i="2"/>
  <c r="D79" i="2"/>
  <c r="C79" i="2"/>
  <c r="B79" i="2"/>
  <c r="A79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E78" i="2"/>
  <c r="D78" i="2"/>
  <c r="C78" i="2"/>
  <c r="B78" i="2"/>
  <c r="A78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E77" i="2"/>
  <c r="D77" i="2"/>
  <c r="C77" i="2"/>
  <c r="B77" i="2"/>
  <c r="A77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E76" i="2"/>
  <c r="D76" i="2"/>
  <c r="C76" i="2"/>
  <c r="B76" i="2"/>
  <c r="A76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E75" i="2"/>
  <c r="D75" i="2"/>
  <c r="C75" i="2"/>
  <c r="B75" i="2"/>
  <c r="A75" i="2"/>
  <c r="T74" i="2"/>
  <c r="S74" i="2"/>
  <c r="R74" i="2"/>
  <c r="O74" i="2"/>
  <c r="M74" i="2"/>
  <c r="L74" i="2"/>
  <c r="K74" i="2"/>
  <c r="J74" i="2"/>
  <c r="D74" i="2"/>
  <c r="A74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E73" i="2"/>
  <c r="D73" i="2"/>
  <c r="C73" i="2"/>
  <c r="B73" i="2"/>
  <c r="A73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E72" i="2"/>
  <c r="D72" i="2"/>
  <c r="C72" i="2"/>
  <c r="B72" i="2"/>
  <c r="A72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E71" i="2"/>
  <c r="D71" i="2"/>
  <c r="C71" i="2"/>
  <c r="B71" i="2"/>
  <c r="A71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E70" i="2"/>
  <c r="D70" i="2"/>
  <c r="C70" i="2"/>
  <c r="B70" i="2"/>
  <c r="A70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E69" i="2"/>
  <c r="D69" i="2"/>
  <c r="C69" i="2"/>
  <c r="B69" i="2"/>
  <c r="A69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E68" i="2"/>
  <c r="D68" i="2"/>
  <c r="C68" i="2"/>
  <c r="B68" i="2"/>
  <c r="A68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E67" i="2"/>
  <c r="D67" i="2"/>
  <c r="C67" i="2"/>
  <c r="B67" i="2"/>
  <c r="A67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E66" i="2"/>
  <c r="D66" i="2"/>
  <c r="C66" i="2"/>
  <c r="B66" i="2"/>
  <c r="A66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E65" i="2"/>
  <c r="D65" i="2"/>
  <c r="C65" i="2"/>
  <c r="B65" i="2"/>
  <c r="A65" i="2"/>
  <c r="T64" i="2"/>
  <c r="S64" i="2"/>
  <c r="R64" i="2"/>
  <c r="O64" i="2"/>
  <c r="M64" i="2"/>
  <c r="L64" i="2"/>
  <c r="K64" i="2"/>
  <c r="J64" i="2"/>
  <c r="D64" i="2"/>
  <c r="A64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E63" i="2"/>
  <c r="D63" i="2"/>
  <c r="C63" i="2"/>
  <c r="B63" i="2"/>
  <c r="A63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E62" i="2"/>
  <c r="D62" i="2"/>
  <c r="C62" i="2"/>
  <c r="B62" i="2"/>
  <c r="A62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E61" i="2"/>
  <c r="D61" i="2"/>
  <c r="C61" i="2"/>
  <c r="B61" i="2"/>
  <c r="A61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E60" i="2"/>
  <c r="D60" i="2"/>
  <c r="C60" i="2"/>
  <c r="B60" i="2"/>
  <c r="A60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E59" i="2"/>
  <c r="D59" i="2"/>
  <c r="C59" i="2"/>
  <c r="B59" i="2"/>
  <c r="A59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C58" i="2"/>
  <c r="B58" i="2"/>
  <c r="A58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E57" i="2"/>
  <c r="D57" i="2"/>
  <c r="C57" i="2"/>
  <c r="B57" i="2"/>
  <c r="A57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E56" i="2"/>
  <c r="D56" i="2"/>
  <c r="C56" i="2"/>
  <c r="B56" i="2"/>
  <c r="A56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E55" i="2"/>
  <c r="D55" i="2"/>
  <c r="C55" i="2"/>
  <c r="B55" i="2"/>
  <c r="A55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E54" i="2"/>
  <c r="D54" i="2"/>
  <c r="C54" i="2"/>
  <c r="B54" i="2"/>
  <c r="A54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E53" i="2"/>
  <c r="D53" i="2"/>
  <c r="C53" i="2"/>
  <c r="B53" i="2"/>
  <c r="A53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E52" i="2"/>
  <c r="D52" i="2"/>
  <c r="C52" i="2"/>
  <c r="B52" i="2"/>
  <c r="A52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E51" i="2"/>
  <c r="D51" i="2"/>
  <c r="C51" i="2"/>
  <c r="B51" i="2"/>
  <c r="A51" i="2"/>
  <c r="T50" i="2"/>
  <c r="S50" i="2"/>
  <c r="R50" i="2"/>
  <c r="O50" i="2"/>
  <c r="M50" i="2"/>
  <c r="L50" i="2"/>
  <c r="K50" i="2"/>
  <c r="J50" i="2"/>
  <c r="D50" i="2"/>
  <c r="A50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E49" i="2"/>
  <c r="D49" i="2"/>
  <c r="C49" i="2"/>
  <c r="B49" i="2"/>
  <c r="A49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E48" i="2"/>
  <c r="D48" i="2"/>
  <c r="C48" i="2"/>
  <c r="B48" i="2"/>
  <c r="A48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E47" i="2"/>
  <c r="D47" i="2"/>
  <c r="C47" i="2"/>
  <c r="B47" i="2"/>
  <c r="A47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E46" i="2"/>
  <c r="D46" i="2"/>
  <c r="C46" i="2"/>
  <c r="B46" i="2"/>
  <c r="A46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E45" i="2"/>
  <c r="D45" i="2"/>
  <c r="C45" i="2"/>
  <c r="B45" i="2"/>
  <c r="A45" i="2"/>
  <c r="T44" i="2"/>
  <c r="S44" i="2"/>
  <c r="R44" i="2"/>
  <c r="O44" i="2"/>
  <c r="M44" i="2"/>
  <c r="L44" i="2"/>
  <c r="K44" i="2"/>
  <c r="J44" i="2"/>
  <c r="D44" i="2"/>
  <c r="A44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E43" i="2"/>
  <c r="D43" i="2"/>
  <c r="C43" i="2"/>
  <c r="B43" i="2"/>
  <c r="A43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E42" i="2"/>
  <c r="D42" i="2"/>
  <c r="C42" i="2"/>
  <c r="B42" i="2"/>
  <c r="A42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E41" i="2"/>
  <c r="D41" i="2"/>
  <c r="C41" i="2"/>
  <c r="B41" i="2"/>
  <c r="A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E40" i="2"/>
  <c r="D40" i="2"/>
  <c r="C40" i="2"/>
  <c r="B40" i="2"/>
  <c r="A40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E39" i="2"/>
  <c r="D39" i="2"/>
  <c r="C39" i="2"/>
  <c r="B39" i="2"/>
  <c r="A39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E38" i="2"/>
  <c r="D38" i="2"/>
  <c r="C38" i="2"/>
  <c r="B38" i="2"/>
  <c r="A38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E37" i="2"/>
  <c r="D37" i="2"/>
  <c r="C37" i="2"/>
  <c r="B37" i="2"/>
  <c r="A37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E36" i="2"/>
  <c r="D36" i="2"/>
  <c r="C36" i="2"/>
  <c r="B36" i="2"/>
  <c r="A36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E35" i="2"/>
  <c r="D35" i="2"/>
  <c r="C35" i="2"/>
  <c r="B35" i="2"/>
  <c r="A35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E34" i="2"/>
  <c r="D34" i="2"/>
  <c r="C34" i="2"/>
  <c r="B34" i="2"/>
  <c r="A34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E33" i="2"/>
  <c r="D33" i="2"/>
  <c r="C33" i="2"/>
  <c r="B33" i="2"/>
  <c r="A33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E32" i="2"/>
  <c r="D32" i="2"/>
  <c r="C32" i="2"/>
  <c r="B32" i="2"/>
  <c r="A32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E31" i="2"/>
  <c r="D31" i="2"/>
  <c r="C31" i="2"/>
  <c r="B31" i="2"/>
  <c r="A31" i="2"/>
  <c r="T30" i="2"/>
  <c r="S30" i="2"/>
  <c r="R30" i="2"/>
  <c r="O30" i="2"/>
  <c r="M30" i="2"/>
  <c r="L30" i="2"/>
  <c r="K30" i="2"/>
  <c r="J30" i="2"/>
  <c r="D30" i="2"/>
  <c r="A30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E29" i="2"/>
  <c r="D29" i="2"/>
  <c r="C29" i="2"/>
  <c r="B29" i="2"/>
  <c r="A29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E28" i="2"/>
  <c r="D28" i="2"/>
  <c r="C28" i="2"/>
  <c r="B28" i="2"/>
  <c r="A28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E27" i="2"/>
  <c r="D27" i="2"/>
  <c r="C27" i="2"/>
  <c r="B27" i="2"/>
  <c r="A27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E26" i="2"/>
  <c r="D26" i="2"/>
  <c r="C26" i="2"/>
  <c r="B26" i="2"/>
  <c r="A26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E25" i="2"/>
  <c r="D25" i="2"/>
  <c r="C25" i="2"/>
  <c r="B25" i="2"/>
  <c r="A25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E24" i="2"/>
  <c r="D24" i="2"/>
  <c r="C24" i="2"/>
  <c r="B24" i="2"/>
  <c r="A24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E23" i="2"/>
  <c r="D23" i="2"/>
  <c r="C23" i="2"/>
  <c r="B23" i="2"/>
  <c r="A23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E22" i="2"/>
  <c r="D22" i="2"/>
  <c r="C22" i="2"/>
  <c r="B22" i="2"/>
  <c r="A22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E21" i="2"/>
  <c r="D21" i="2"/>
  <c r="C21" i="2"/>
  <c r="B21" i="2"/>
  <c r="A21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E20" i="2"/>
  <c r="D20" i="2"/>
  <c r="C20" i="2"/>
  <c r="B20" i="2"/>
  <c r="A20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E19" i="2"/>
  <c r="D19" i="2"/>
  <c r="C19" i="2"/>
  <c r="B19" i="2"/>
  <c r="A19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E18" i="2"/>
  <c r="D18" i="2"/>
  <c r="C18" i="2"/>
  <c r="B18" i="2"/>
  <c r="A18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E17" i="2"/>
  <c r="D17" i="2"/>
  <c r="C17" i="2"/>
  <c r="B17" i="2"/>
  <c r="A17" i="2"/>
  <c r="T16" i="2"/>
  <c r="S16" i="2"/>
  <c r="R16" i="2"/>
  <c r="O16" i="2"/>
  <c r="M16" i="2"/>
  <c r="L16" i="2"/>
  <c r="K16" i="2"/>
  <c r="J16" i="2"/>
  <c r="D16" i="2"/>
  <c r="A16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E15" i="2"/>
  <c r="D15" i="2"/>
  <c r="C15" i="2"/>
  <c r="B15" i="2"/>
  <c r="A15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E14" i="2"/>
  <c r="D14" i="2"/>
  <c r="C14" i="2"/>
  <c r="B14" i="2"/>
  <c r="A14" i="2"/>
  <c r="T13" i="2"/>
  <c r="S13" i="2"/>
  <c r="R13" i="2"/>
  <c r="O13" i="2"/>
  <c r="M13" i="2"/>
  <c r="L13" i="2"/>
  <c r="K13" i="2"/>
  <c r="J13" i="2"/>
  <c r="D13" i="2"/>
  <c r="A13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E12" i="2"/>
  <c r="D12" i="2"/>
  <c r="C12" i="2"/>
  <c r="B12" i="2"/>
  <c r="A12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E11" i="2"/>
  <c r="D11" i="2"/>
  <c r="C11" i="2"/>
  <c r="B11" i="2"/>
  <c r="A11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E10" i="2"/>
  <c r="D10" i="2"/>
  <c r="C10" i="2"/>
  <c r="B10" i="2"/>
  <c r="A10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E9" i="2"/>
  <c r="D9" i="2"/>
  <c r="C9" i="2"/>
  <c r="B9" i="2"/>
  <c r="A9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E8" i="2"/>
  <c r="D8" i="2"/>
  <c r="C8" i="2"/>
  <c r="B8" i="2"/>
  <c r="A8" i="2"/>
  <c r="T7" i="2"/>
  <c r="S7" i="2"/>
  <c r="R7" i="2"/>
  <c r="O7" i="2"/>
  <c r="M7" i="2"/>
  <c r="L7" i="2"/>
  <c r="K7" i="2"/>
  <c r="J7" i="2"/>
  <c r="D7" i="2"/>
  <c r="A7" i="2"/>
  <c r="T6" i="2"/>
  <c r="S6" i="2"/>
  <c r="R6" i="2"/>
  <c r="P6" i="2"/>
  <c r="N6" i="2"/>
  <c r="L6" i="2"/>
  <c r="K6" i="2"/>
  <c r="J6" i="2"/>
  <c r="H6" i="2"/>
  <c r="G6" i="2"/>
  <c r="E5" i="2"/>
  <c r="A5" i="2"/>
  <c r="E4" i="2"/>
  <c r="A4" i="2"/>
  <c r="E3" i="2"/>
  <c r="A3" i="2"/>
  <c r="L2" i="2"/>
  <c r="K2" i="2"/>
  <c r="J2" i="2"/>
  <c r="A2" i="2"/>
  <c r="T96" i="8"/>
  <c r="L96" i="8"/>
  <c r="S95" i="8"/>
  <c r="R94" i="8"/>
  <c r="R93" i="8"/>
  <c r="M92" i="8"/>
  <c r="K92" i="8"/>
  <c r="M91" i="8"/>
  <c r="J91" i="8"/>
  <c r="M90" i="8"/>
  <c r="J90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E89" i="8"/>
  <c r="D89" i="8"/>
  <c r="C89" i="8"/>
  <c r="B89" i="8"/>
  <c r="A89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E88" i="8"/>
  <c r="D88" i="8"/>
  <c r="C88" i="8"/>
  <c r="B88" i="8"/>
  <c r="A88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E87" i="8"/>
  <c r="D87" i="8"/>
  <c r="C87" i="8"/>
  <c r="B87" i="8"/>
  <c r="A87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E86" i="8"/>
  <c r="D86" i="8"/>
  <c r="C86" i="8"/>
  <c r="B86" i="8"/>
  <c r="A86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E85" i="8"/>
  <c r="D85" i="8"/>
  <c r="C85" i="8"/>
  <c r="B85" i="8"/>
  <c r="A85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E84" i="8"/>
  <c r="D84" i="8"/>
  <c r="C84" i="8"/>
  <c r="B84" i="8"/>
  <c r="A84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E83" i="8"/>
  <c r="D83" i="8"/>
  <c r="C83" i="8"/>
  <c r="B83" i="8"/>
  <c r="A83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E82" i="8"/>
  <c r="D82" i="8"/>
  <c r="C82" i="8"/>
  <c r="B82" i="8"/>
  <c r="A82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E81" i="8"/>
  <c r="D81" i="8"/>
  <c r="C81" i="8"/>
  <c r="B81" i="8"/>
  <c r="A81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E80" i="8"/>
  <c r="D80" i="8"/>
  <c r="C80" i="8"/>
  <c r="B80" i="8"/>
  <c r="A80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E79" i="8"/>
  <c r="D79" i="8"/>
  <c r="C79" i="8"/>
  <c r="B79" i="8"/>
  <c r="A79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E78" i="8"/>
  <c r="D78" i="8"/>
  <c r="C78" i="8"/>
  <c r="B78" i="8"/>
  <c r="A78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E77" i="8"/>
  <c r="D77" i="8"/>
  <c r="C77" i="8"/>
  <c r="B77" i="8"/>
  <c r="A77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E76" i="8"/>
  <c r="D76" i="8"/>
  <c r="C76" i="8"/>
  <c r="B76" i="8"/>
  <c r="A76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E75" i="8"/>
  <c r="D75" i="8"/>
  <c r="C75" i="8"/>
  <c r="B75" i="8"/>
  <c r="A75" i="8"/>
  <c r="T74" i="8"/>
  <c r="S74" i="8"/>
  <c r="R74" i="8"/>
  <c r="O74" i="8"/>
  <c r="M74" i="8"/>
  <c r="L74" i="8"/>
  <c r="K74" i="8"/>
  <c r="J74" i="8"/>
  <c r="D74" i="8"/>
  <c r="A74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E73" i="8"/>
  <c r="D73" i="8"/>
  <c r="C73" i="8"/>
  <c r="B73" i="8"/>
  <c r="A73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E72" i="8"/>
  <c r="D72" i="8"/>
  <c r="C72" i="8"/>
  <c r="B72" i="8"/>
  <c r="A72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E71" i="8"/>
  <c r="D71" i="8"/>
  <c r="C71" i="8"/>
  <c r="B71" i="8"/>
  <c r="A71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E70" i="8"/>
  <c r="D70" i="8"/>
  <c r="C70" i="8"/>
  <c r="B70" i="8"/>
  <c r="A70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E69" i="8"/>
  <c r="D69" i="8"/>
  <c r="C69" i="8"/>
  <c r="B69" i="8"/>
  <c r="A69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E68" i="8"/>
  <c r="D68" i="8"/>
  <c r="C68" i="8"/>
  <c r="B68" i="8"/>
  <c r="A68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E67" i="8"/>
  <c r="D67" i="8"/>
  <c r="C67" i="8"/>
  <c r="B67" i="8"/>
  <c r="A67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E66" i="8"/>
  <c r="D66" i="8"/>
  <c r="C66" i="8"/>
  <c r="B66" i="8"/>
  <c r="A66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E65" i="8"/>
  <c r="D65" i="8"/>
  <c r="C65" i="8"/>
  <c r="B65" i="8"/>
  <c r="A65" i="8"/>
  <c r="T64" i="8"/>
  <c r="S64" i="8"/>
  <c r="R64" i="8"/>
  <c r="O64" i="8"/>
  <c r="M64" i="8"/>
  <c r="L64" i="8"/>
  <c r="K64" i="8"/>
  <c r="J64" i="8"/>
  <c r="D64" i="8"/>
  <c r="A64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E63" i="8"/>
  <c r="D63" i="8"/>
  <c r="C63" i="8"/>
  <c r="B63" i="8"/>
  <c r="A63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E62" i="8"/>
  <c r="D62" i="8"/>
  <c r="C62" i="8"/>
  <c r="B62" i="8"/>
  <c r="A62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E61" i="8"/>
  <c r="D61" i="8"/>
  <c r="C61" i="8"/>
  <c r="B61" i="8"/>
  <c r="A61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E60" i="8"/>
  <c r="D60" i="8"/>
  <c r="C60" i="8"/>
  <c r="B60" i="8"/>
  <c r="A60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E59" i="8"/>
  <c r="D59" i="8"/>
  <c r="C59" i="8"/>
  <c r="B59" i="8"/>
  <c r="A59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E58" i="8"/>
  <c r="D58" i="8"/>
  <c r="C58" i="8"/>
  <c r="B58" i="8"/>
  <c r="A58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E57" i="8"/>
  <c r="D57" i="8"/>
  <c r="C57" i="8"/>
  <c r="B57" i="8"/>
  <c r="A57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E56" i="8"/>
  <c r="D56" i="8"/>
  <c r="C56" i="8"/>
  <c r="B56" i="8"/>
  <c r="A56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E55" i="8"/>
  <c r="D55" i="8"/>
  <c r="C55" i="8"/>
  <c r="B55" i="8"/>
  <c r="A55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E54" i="8"/>
  <c r="D54" i="8"/>
  <c r="C54" i="8"/>
  <c r="B54" i="8"/>
  <c r="A54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E53" i="8"/>
  <c r="D53" i="8"/>
  <c r="C53" i="8"/>
  <c r="B53" i="8"/>
  <c r="A53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E52" i="8"/>
  <c r="D52" i="8"/>
  <c r="C52" i="8"/>
  <c r="B52" i="8"/>
  <c r="A52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E51" i="8"/>
  <c r="D51" i="8"/>
  <c r="C51" i="8"/>
  <c r="B51" i="8"/>
  <c r="A51" i="8"/>
  <c r="T50" i="8"/>
  <c r="S50" i="8"/>
  <c r="R50" i="8"/>
  <c r="O50" i="8"/>
  <c r="M50" i="8"/>
  <c r="L50" i="8"/>
  <c r="K50" i="8"/>
  <c r="J50" i="8"/>
  <c r="D50" i="8"/>
  <c r="A50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E49" i="8"/>
  <c r="D49" i="8"/>
  <c r="C49" i="8"/>
  <c r="B49" i="8"/>
  <c r="A49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E48" i="8"/>
  <c r="D48" i="8"/>
  <c r="C48" i="8"/>
  <c r="B48" i="8"/>
  <c r="A48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E47" i="8"/>
  <c r="D47" i="8"/>
  <c r="C47" i="8"/>
  <c r="B47" i="8"/>
  <c r="A47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E46" i="8"/>
  <c r="D46" i="8"/>
  <c r="C46" i="8"/>
  <c r="B46" i="8"/>
  <c r="A46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E45" i="8"/>
  <c r="D45" i="8"/>
  <c r="C45" i="8"/>
  <c r="B45" i="8"/>
  <c r="A45" i="8"/>
  <c r="T44" i="8"/>
  <c r="S44" i="8"/>
  <c r="R44" i="8"/>
  <c r="O44" i="8"/>
  <c r="M44" i="8"/>
  <c r="L44" i="8"/>
  <c r="K44" i="8"/>
  <c r="J44" i="8"/>
  <c r="D44" i="8"/>
  <c r="A44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E43" i="8"/>
  <c r="D43" i="8"/>
  <c r="C43" i="8"/>
  <c r="B43" i="8"/>
  <c r="A43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E42" i="8"/>
  <c r="D42" i="8"/>
  <c r="C42" i="8"/>
  <c r="B42" i="8"/>
  <c r="A42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E41" i="8"/>
  <c r="D41" i="8"/>
  <c r="C41" i="8"/>
  <c r="B41" i="8"/>
  <c r="A41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E40" i="8"/>
  <c r="D40" i="8"/>
  <c r="C40" i="8"/>
  <c r="B40" i="8"/>
  <c r="A40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E39" i="8"/>
  <c r="D39" i="8"/>
  <c r="C39" i="8"/>
  <c r="B39" i="8"/>
  <c r="A39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E38" i="8"/>
  <c r="D38" i="8"/>
  <c r="C38" i="8"/>
  <c r="B38" i="8"/>
  <c r="A38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E37" i="8"/>
  <c r="D37" i="8"/>
  <c r="C37" i="8"/>
  <c r="B37" i="8"/>
  <c r="A37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E36" i="8"/>
  <c r="D36" i="8"/>
  <c r="C36" i="8"/>
  <c r="B36" i="8"/>
  <c r="A36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E35" i="8"/>
  <c r="D35" i="8"/>
  <c r="C35" i="8"/>
  <c r="B35" i="8"/>
  <c r="A35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E34" i="8"/>
  <c r="D34" i="8"/>
  <c r="C34" i="8"/>
  <c r="B34" i="8"/>
  <c r="A34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E33" i="8"/>
  <c r="D33" i="8"/>
  <c r="C33" i="8"/>
  <c r="B33" i="8"/>
  <c r="A33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E32" i="8"/>
  <c r="D32" i="8"/>
  <c r="C32" i="8"/>
  <c r="B32" i="8"/>
  <c r="A32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E31" i="8"/>
  <c r="D31" i="8"/>
  <c r="C31" i="8"/>
  <c r="B31" i="8"/>
  <c r="A31" i="8"/>
  <c r="T30" i="8"/>
  <c r="S30" i="8"/>
  <c r="R30" i="8"/>
  <c r="O30" i="8"/>
  <c r="M30" i="8"/>
  <c r="L30" i="8"/>
  <c r="K30" i="8"/>
  <c r="J30" i="8"/>
  <c r="D30" i="8"/>
  <c r="A30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E29" i="8"/>
  <c r="D29" i="8"/>
  <c r="C29" i="8"/>
  <c r="B29" i="8"/>
  <c r="A29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E28" i="8"/>
  <c r="D28" i="8"/>
  <c r="C28" i="8"/>
  <c r="B28" i="8"/>
  <c r="A28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A27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A26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E25" i="8"/>
  <c r="D25" i="8"/>
  <c r="C25" i="8"/>
  <c r="B25" i="8"/>
  <c r="A25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E24" i="8"/>
  <c r="D24" i="8"/>
  <c r="C24" i="8"/>
  <c r="B24" i="8"/>
  <c r="A24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E23" i="8"/>
  <c r="D23" i="8"/>
  <c r="C23" i="8"/>
  <c r="B23" i="8"/>
  <c r="A23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A22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A21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E20" i="8"/>
  <c r="D20" i="8"/>
  <c r="C20" i="8"/>
  <c r="B20" i="8"/>
  <c r="A20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E19" i="8"/>
  <c r="D19" i="8"/>
  <c r="C19" i="8"/>
  <c r="B19" i="8"/>
  <c r="A19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E18" i="8"/>
  <c r="D18" i="8"/>
  <c r="C18" i="8"/>
  <c r="B18" i="8"/>
  <c r="A18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A17" i="8"/>
  <c r="T16" i="8"/>
  <c r="S16" i="8"/>
  <c r="R16" i="8"/>
  <c r="O16" i="8"/>
  <c r="M16" i="8"/>
  <c r="L16" i="8"/>
  <c r="K16" i="8"/>
  <c r="J16" i="8"/>
  <c r="D16" i="8"/>
  <c r="A16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E15" i="8"/>
  <c r="D15" i="8"/>
  <c r="C15" i="8"/>
  <c r="B15" i="8"/>
  <c r="A15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E14" i="8"/>
  <c r="D14" i="8"/>
  <c r="C14" i="8"/>
  <c r="B14" i="8"/>
  <c r="A14" i="8"/>
  <c r="T13" i="8"/>
  <c r="S13" i="8"/>
  <c r="R13" i="8"/>
  <c r="O13" i="8"/>
  <c r="M13" i="8"/>
  <c r="L13" i="8"/>
  <c r="K13" i="8"/>
  <c r="J13" i="8"/>
  <c r="D13" i="8"/>
  <c r="A13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E12" i="8"/>
  <c r="D12" i="8"/>
  <c r="C12" i="8"/>
  <c r="B12" i="8"/>
  <c r="A12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E11" i="8"/>
  <c r="D11" i="8"/>
  <c r="C11" i="8"/>
  <c r="B11" i="8"/>
  <c r="A11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E10" i="8"/>
  <c r="D10" i="8"/>
  <c r="C10" i="8"/>
  <c r="B10" i="8"/>
  <c r="A10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E9" i="8"/>
  <c r="D9" i="8"/>
  <c r="C9" i="8"/>
  <c r="B9" i="8"/>
  <c r="A9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E8" i="8"/>
  <c r="D8" i="8"/>
  <c r="C8" i="8"/>
  <c r="B8" i="8"/>
  <c r="A8" i="8"/>
  <c r="T7" i="8"/>
  <c r="S7" i="8"/>
  <c r="R7" i="8"/>
  <c r="O7" i="8"/>
  <c r="M7" i="8"/>
  <c r="L7" i="8"/>
  <c r="K7" i="8"/>
  <c r="J7" i="8"/>
  <c r="D7" i="8"/>
  <c r="A7" i="8"/>
  <c r="T6" i="8"/>
  <c r="S6" i="8"/>
  <c r="R6" i="8"/>
  <c r="P6" i="8"/>
  <c r="N6" i="8"/>
  <c r="L6" i="8"/>
  <c r="K6" i="8"/>
  <c r="J6" i="8"/>
  <c r="H6" i="8"/>
  <c r="G6" i="8"/>
  <c r="E5" i="8"/>
  <c r="A5" i="8"/>
  <c r="E4" i="8"/>
  <c r="A4" i="8"/>
  <c r="E3" i="8"/>
  <c r="A3" i="8"/>
  <c r="L2" i="8"/>
  <c r="K2" i="8"/>
  <c r="J2" i="8"/>
  <c r="A2" i="8"/>
  <c r="K90" i="3" l="1"/>
  <c r="K39" i="3"/>
  <c r="I46" i="3"/>
  <c r="I54" i="3"/>
  <c r="I62" i="3"/>
  <c r="I70" i="3"/>
  <c r="I78" i="3"/>
  <c r="I86" i="3"/>
  <c r="I93" i="3"/>
  <c r="I101" i="3"/>
  <c r="I109" i="3"/>
  <c r="I63" i="3"/>
  <c r="I71" i="3"/>
  <c r="I79" i="3"/>
  <c r="I87" i="3"/>
  <c r="I94" i="3"/>
  <c r="I102" i="3"/>
  <c r="J40" i="3"/>
  <c r="K40" i="3" s="1"/>
  <c r="K92" i="3"/>
  <c r="K91" i="3"/>
  <c r="K41" i="3" l="1"/>
  <c r="K42" i="3" l="1"/>
  <c r="K93" i="3"/>
  <c r="K94" i="3" l="1"/>
  <c r="K43" i="3"/>
  <c r="K95" i="3" l="1"/>
  <c r="K44" i="3"/>
  <c r="K96" i="3" l="1"/>
  <c r="K45" i="3"/>
  <c r="K46" i="3" l="1"/>
  <c r="K97" i="3"/>
  <c r="K98" i="3" l="1"/>
  <c r="K47" i="3"/>
  <c r="K48" i="3" l="1"/>
  <c r="K99" i="3"/>
  <c r="K100" i="3" l="1"/>
  <c r="K49" i="3"/>
  <c r="K50" i="3" l="1"/>
  <c r="K101" i="3"/>
  <c r="K102" i="3" l="1"/>
  <c r="K51" i="3"/>
  <c r="K52" i="3" l="1"/>
  <c r="K103" i="3"/>
  <c r="K104" i="3" l="1"/>
  <c r="K53" i="3"/>
  <c r="K54" i="3" l="1"/>
  <c r="K105" i="3"/>
  <c r="K55" i="3" l="1"/>
  <c r="K106" i="3"/>
  <c r="K56" i="3" l="1"/>
  <c r="K107" i="3"/>
  <c r="K108" i="3" l="1"/>
  <c r="K57" i="3"/>
  <c r="K58" i="3" l="1"/>
  <c r="K109" i="3"/>
  <c r="K59" i="3" l="1"/>
  <c r="K110" i="3"/>
  <c r="K111" i="3" l="1"/>
  <c r="K60" i="3"/>
  <c r="K61" i="3" l="1"/>
  <c r="K112" i="3"/>
  <c r="K113" i="3"/>
  <c r="K62" i="3" l="1"/>
  <c r="K63" i="3" l="1"/>
  <c r="K64" i="3" l="1"/>
  <c r="K65" i="3" l="1"/>
  <c r="K66" i="3" l="1"/>
  <c r="K67" i="3" l="1"/>
  <c r="K68" i="3" l="1"/>
  <c r="K69" i="3" l="1"/>
  <c r="K70" i="3" l="1"/>
  <c r="K71" i="3" l="1"/>
  <c r="K72" i="3" l="1"/>
  <c r="K73" i="3" l="1"/>
  <c r="K74" i="3" l="1"/>
  <c r="K75" i="3" l="1"/>
  <c r="K76" i="3" l="1"/>
  <c r="K77" i="3" l="1"/>
  <c r="K78" i="3" l="1"/>
  <c r="K79" i="3" l="1"/>
  <c r="K80" i="3" l="1"/>
  <c r="K81" i="3" l="1"/>
  <c r="K82" i="3" l="1"/>
  <c r="K83" i="3" l="1"/>
  <c r="K84" i="3" l="1"/>
  <c r="K85" i="3" l="1"/>
  <c r="K86" i="3" l="1"/>
  <c r="K87" i="3" l="1"/>
  <c r="K88" i="3" l="1"/>
  <c r="K89" i="3"/>
</calcChain>
</file>

<file path=xl/sharedStrings.xml><?xml version="1.0" encoding="utf-8"?>
<sst xmlns="http://schemas.openxmlformats.org/spreadsheetml/2006/main" count="1718" uniqueCount="456">
  <si>
    <r>
      <t xml:space="preserve">CREA: </t>
    </r>
    <r>
      <rPr>
        <sz val="10"/>
        <color indexed="8"/>
        <rFont val="Arial"/>
        <family val="2"/>
      </rPr>
      <t>SP-0682258758/D</t>
    </r>
  </si>
  <si>
    <t>CLIENTE:        CÂMARA MUNICIPAL DE MOGI DAS CRUZES</t>
  </si>
  <si>
    <t>ETAPA:           EXECUTIVO</t>
  </si>
  <si>
    <t>Descrição</t>
  </si>
  <si>
    <t>Unidade</t>
  </si>
  <si>
    <t>Item</t>
  </si>
  <si>
    <t>Fonte</t>
  </si>
  <si>
    <t>Código</t>
  </si>
  <si>
    <t>1.2</t>
  </si>
  <si>
    <t>3.1</t>
  </si>
  <si>
    <t>3.2</t>
  </si>
  <si>
    <t>3.3</t>
  </si>
  <si>
    <t>3.4</t>
  </si>
  <si>
    <t>3.5</t>
  </si>
  <si>
    <t>3.6</t>
  </si>
  <si>
    <t>3.8</t>
  </si>
  <si>
    <t>3.9</t>
  </si>
  <si>
    <t>4.1</t>
  </si>
  <si>
    <t>SINAPI</t>
  </si>
  <si>
    <t>Quant.</t>
  </si>
  <si>
    <r>
      <t xml:space="preserve">RT: </t>
    </r>
    <r>
      <rPr>
        <sz val="10"/>
        <color indexed="8"/>
        <rFont val="Arial"/>
        <family val="2"/>
      </rPr>
      <t>KÁTIA  C. PUERTAS</t>
    </r>
  </si>
  <si>
    <t>P.M</t>
  </si>
  <si>
    <t>4.2</t>
  </si>
  <si>
    <t>AUXILIAR DE ENCANADOR OU BOMBEIRO HIDRÁULICO COM ENCARGOS COMPLEMENTARES</t>
  </si>
  <si>
    <t>ENCANADOR OU BOMBEIRO HIDRÁULICO COM ENCARGOS COMPLEMENTARES</t>
  </si>
  <si>
    <t>GESSEIRO COM ENCARGOS COMPLEMENTARES</t>
  </si>
  <si>
    <t>MONTADOR DE ESTRUTURA METÁLICA COM ENCARGOS COMPLEMENTARES</t>
  </si>
  <si>
    <t>PEDREIRO COM ENCARGOS COMPLEMENTARES</t>
  </si>
  <si>
    <t>SERVENTE COM ENCARGOS COMPLEMENTARES</t>
  </si>
  <si>
    <t>CHUMBADOR, DIAMETRO 1/4" COM PARAFUSO 1/4" X 40 MM</t>
  </si>
  <si>
    <r>
      <rPr>
        <b/>
        <sz val="12"/>
        <color rgb="FF000000"/>
        <rFont val="Arial"/>
        <family val="2"/>
      </rPr>
      <t>E-MAIL:</t>
    </r>
    <r>
      <rPr>
        <sz val="12"/>
        <color rgb="FF000000"/>
        <rFont val="Arial"/>
        <family val="2"/>
      </rPr>
      <t xml:space="preserve"> wind.engenharia@uol.com.br</t>
    </r>
  </si>
  <si>
    <t>Administração Local - Pessoal Indireto, Despesas com Equipe e Despesas Administrativas</t>
  </si>
  <si>
    <t>CPU</t>
  </si>
  <si>
    <t>2.1</t>
  </si>
  <si>
    <t>2.2</t>
  </si>
  <si>
    <t>3.10</t>
  </si>
  <si>
    <r>
      <t xml:space="preserve">QUALIFICAÇÃO: </t>
    </r>
    <r>
      <rPr>
        <sz val="10"/>
        <color theme="1"/>
        <rFont val="Arial"/>
        <family val="2"/>
      </rPr>
      <t>ENGENHEIRA MECÂNICA</t>
    </r>
  </si>
  <si>
    <t>C.P</t>
  </si>
  <si>
    <t>ENGENHEIRO CIVIL DE OBRA PLENO COM ENCARGOS COMPLEMENTARES</t>
  </si>
  <si>
    <t>4.3</t>
  </si>
  <si>
    <t>LIMPEZA FINAL DA OBRA ( INCLUSIVE DURANTE A EXECUÇÃO).</t>
  </si>
  <si>
    <t>% Individual</t>
  </si>
  <si>
    <t>Classificação</t>
  </si>
  <si>
    <t>Classe</t>
  </si>
  <si>
    <t>Corte</t>
  </si>
  <si>
    <t>% Acumulado</t>
  </si>
  <si>
    <t>A</t>
  </si>
  <si>
    <t>B</t>
  </si>
  <si>
    <t>C</t>
  </si>
  <si>
    <t>Custo Unit. Mat.</t>
  </si>
  <si>
    <t>Preço Total</t>
  </si>
  <si>
    <t>Custo Total Mat.</t>
  </si>
  <si>
    <t>Custo Unit. M.O</t>
  </si>
  <si>
    <t>Custo Total M.O</t>
  </si>
  <si>
    <t>Preço Unit. Mat.</t>
  </si>
  <si>
    <t>Preço Unit. M.O</t>
  </si>
  <si>
    <t>Preço Total Mat.</t>
  </si>
  <si>
    <t>Preço Total M.O</t>
  </si>
  <si>
    <t xml:space="preserve">Custo Total Equipamentos </t>
  </si>
  <si>
    <t>Custo Total Materiais</t>
  </si>
  <si>
    <t>Custo Total Mão de Obra</t>
  </si>
  <si>
    <t>Custo Total Global I Preço Total Global com BDI</t>
  </si>
  <si>
    <t>Custo Total</t>
  </si>
  <si>
    <t>Custo Unit. Total</t>
  </si>
  <si>
    <t>BDI Mat.</t>
  </si>
  <si>
    <t>BDI M.O</t>
  </si>
  <si>
    <t xml:space="preserve">Preço Total Materiais </t>
  </si>
  <si>
    <t>Preço Total Equipamentos</t>
  </si>
  <si>
    <t xml:space="preserve">Preço Total Equipamentos </t>
  </si>
  <si>
    <t xml:space="preserve">Preço Total Mão de Obra </t>
  </si>
  <si>
    <t>CARPINTEIRO DE FORMAS COM ENCARGOS COMPLEMENTARES</t>
  </si>
  <si>
    <t>5.1</t>
  </si>
  <si>
    <t>5.2</t>
  </si>
  <si>
    <t>5.3</t>
  </si>
  <si>
    <t>5.4</t>
  </si>
  <si>
    <t>Qtd.</t>
  </si>
  <si>
    <t>ANOTAÇÕES DE RESPONSABILIDADE TÉCNICA DE EXECUÇÃO DO PROJETO</t>
  </si>
  <si>
    <t>ANOTAÇÃO DE RESPONSABILIDADE TÉCNICA, EXPEDIDA POR PROFISSIONAL HABILITADO</t>
  </si>
  <si>
    <t>ELABORAÇÃO DO PLANO DE GERENCIAMENTO DE RESÍDUOS DA CONSTRUÇÃO CIVIL (PGRCC)</t>
  </si>
  <si>
    <t>ELABORAÇÃO DO PROGRAMA DE CONDIÇÕES E MEIO AMBIENTE (PCMAT)</t>
  </si>
  <si>
    <t>Serviços Preliminares e Instalações Provisórias</t>
  </si>
  <si>
    <t>PLACA DE OBRA EM CHAPA DE AÇO GALVANIZADO, FORNECIMENTO E INSTALAÇÃO</t>
  </si>
  <si>
    <t>1.3</t>
  </si>
  <si>
    <t>1.4</t>
  </si>
  <si>
    <t>1.5</t>
  </si>
  <si>
    <r>
      <rPr>
        <b/>
        <sz val="10"/>
        <color rgb="FF000000"/>
        <rFont val="Arial"/>
        <family val="2"/>
      </rPr>
      <t>E-MAIL:</t>
    </r>
    <r>
      <rPr>
        <sz val="10"/>
        <color rgb="FF000000"/>
        <rFont val="Arial"/>
        <family val="2"/>
      </rPr>
      <t xml:space="preserve"> wind.engenharia@uol.com.br</t>
    </r>
  </si>
  <si>
    <t>PLACA DE OBRA (PARA CONSTRUCAO CIVIL) EM CHAPA GALVANIZADA *N. 22*, DE *2,0 X 1,125* M</t>
  </si>
  <si>
    <t>PREGO DE ACO POLIDO COM CABECA 18 X 30 (2 3/4 X 10)</t>
  </si>
  <si>
    <t>ENGENHEIRO MECÂNICO PLENO COM ENCARGOS COMPLEMENTARES (COMP. REPRESENTATIVA)</t>
  </si>
  <si>
    <t>ENCARREGADO GERAL DE OBRAS COM ENCARGOS COMPLEMENTARES</t>
  </si>
  <si>
    <t>3.11</t>
  </si>
  <si>
    <t>BDI PARA OBRAS/REFORMAS DE EDIFICAÇÕES I SERVIÇOS DE ENGENHARIA</t>
  </si>
  <si>
    <t>COMPOSIÇÃO DETALHADA:</t>
  </si>
  <si>
    <t>Administração Central (AC)</t>
  </si>
  <si>
    <t>Bonificação/Lucro (L)</t>
  </si>
  <si>
    <t>Despesas Financeiras (DF)</t>
  </si>
  <si>
    <t>Seguros e Garantias (SG)</t>
  </si>
  <si>
    <t>Riscos e Imprevistos (R)</t>
  </si>
  <si>
    <t>Tributos (I)</t>
  </si>
  <si>
    <t>ISS (*1)</t>
  </si>
  <si>
    <t>PIS</t>
  </si>
  <si>
    <t>COFINS</t>
  </si>
  <si>
    <t>CRPB (*2)</t>
  </si>
  <si>
    <t>Acórdão 2622/2013 do TCU: BDI = {[(1+AC+S+R+G) x (1+DF) x (1+L) / (1-I)] -1} x 100</t>
  </si>
  <si>
    <t>(%)</t>
  </si>
  <si>
    <t>BDI CALCULADO</t>
  </si>
  <si>
    <t>BDI PARA FORNECIMENTO DE MATERIAIS E EQUIPAMENTOS</t>
  </si>
  <si>
    <t xml:space="preserve">Tributos (I) </t>
  </si>
  <si>
    <t>NOTAS GERAIS</t>
  </si>
  <si>
    <t xml:space="preserve">*2. CPRB (Contribuição Previdenciária sobre a Receita Bruta): Alíquota definida pelas leis 12.546/2011, 12.844/2013, 13.161/2015 </t>
  </si>
  <si>
    <t>e outras.</t>
  </si>
  <si>
    <t>CONCRETO USINADO BOMBEAVEL, CLASSE DE RESISTENCIA C30, COM BRITA 0 E 1, SLUMP = 100 +/- 20 MM, INCLUI SERVICO DE BOMBEAMENTO (NBR 8953)</t>
  </si>
  <si>
    <t>3.12</t>
  </si>
  <si>
    <t>3.13</t>
  </si>
  <si>
    <t>CONFEA</t>
  </si>
  <si>
    <t>Totais</t>
  </si>
  <si>
    <t>m²</t>
  </si>
  <si>
    <t>m</t>
  </si>
  <si>
    <t>h</t>
  </si>
  <si>
    <t>m³</t>
  </si>
  <si>
    <t>l</t>
  </si>
  <si>
    <t>kg</t>
  </si>
  <si>
    <t>mxkm</t>
  </si>
  <si>
    <t>PERCENTUAL DE M.O EM RELAÇÃO AO CUSTO TOTAL (%)</t>
  </si>
  <si>
    <t>VALOR TOTAL DE MÃO DE OBRA (R$)</t>
  </si>
  <si>
    <t>ALÍQUOTA ISS CORRIGIDA (%) - ANEXO 1 IN SF/SUREM Nº 8/2011</t>
  </si>
  <si>
    <t>un</t>
  </si>
  <si>
    <t>mês</t>
  </si>
  <si>
    <t>chp</t>
  </si>
  <si>
    <t>chi</t>
  </si>
  <si>
    <t>Custo Unitário Total</t>
  </si>
  <si>
    <t>Preço Unitário Total</t>
  </si>
  <si>
    <t xml:space="preserve">Preço Total </t>
  </si>
  <si>
    <t>Montador Eletromecânico com encargos complementares para interligação elétrica e eletrônica da unidade</t>
  </si>
  <si>
    <t>FORNECIMENTO E INSTALAÇÃO DE UNIDADE CONDENSADORA VRV, CAPACIDADE DE 10HP,  Modelo RHXYQ10ATL - Fabricante Daikin ou equivalente</t>
  </si>
  <si>
    <t>Unidade Condensadora VRV,Capacidade de 10HP,  Modelo RHXYQ10ATL - Fabricante Daikin ou equivalente</t>
  </si>
  <si>
    <t>FORNECIMENTO E INSTALAÇÃO DE UNIDADE CONDENSADORA VRV, CAPACIDADE DE 12HP,  Modelo RHXYQ12ATL - Fabricante Daikin ou equivalente</t>
  </si>
  <si>
    <t>Unidade Condensadora VRV,Capacidade de 12HP,  Modelo RHXYQ12ATL - Fabricante Daikin ou equivalente</t>
  </si>
  <si>
    <t>FORNECIMENTO E INSTALAÇÃO DE UNIDADE CONDENSADORA VRV, CAPACIDADE DE 16HP,  Modelo RHXYQ16ATL - Fabricante Daikin ou equivalente</t>
  </si>
  <si>
    <t>Unidade Condensadora VRV,Capacidade de 16HP,  Modelo RHXYQ16ATL - Fabricante Daikin ou equivalente</t>
  </si>
  <si>
    <r>
      <t xml:space="preserve">OBRA: </t>
    </r>
    <r>
      <rPr>
        <sz val="12"/>
        <color rgb="FF000000"/>
        <rFont val="Arial"/>
        <family val="2"/>
      </rPr>
      <t>Implantação de Sistemas de HVAC e Instalações Elétricas</t>
    </r>
  </si>
  <si>
    <t>FORNECIMENTO E INSTALAÇÃO DE KIT REFNET de derivação Modelo KHRP26A22T, fabricação Daikin ou equivalente</t>
  </si>
  <si>
    <t>Kit REFNET de derivação Modelo KHRP26A22T, fabricação Daikin ou equivalente</t>
  </si>
  <si>
    <t xml:space="preserve">Montador Eletromecânico com encargos complementares </t>
  </si>
  <si>
    <t xml:space="preserve">Mecânico de Equipamentos Pesados com encargos complementares </t>
  </si>
  <si>
    <t>FORNECIMENTO E INSTALAÇÃO DE KIT REFNET de derivação Modelo KHRP26A33T, fabaricação Daikin ou equivalente</t>
  </si>
  <si>
    <t>Kit REFNET de derivação Modelo KHRP26A33T, fabaricação Daikin ou equivalente</t>
  </si>
  <si>
    <t>FORNECIMENTO E INSTALAÇÃO DE KIT REFNET de derivação Modelo KHRP26A72T, fabricação Daikin ou equivalente</t>
  </si>
  <si>
    <t>Kit REFNET de derivação Modelo KHRP26A72T, fabricação Daikin ou equivalente</t>
  </si>
  <si>
    <t>FORNECIMENTO E INSTALAÇÃO DE KIT REFNET de derivação Modelo KHRP26A73T, fabricação Daikin ou equivalente</t>
  </si>
  <si>
    <t>Kit REFNET de derivação Modelo KHRP26A73T, fabricação Daikin ou equivalente</t>
  </si>
  <si>
    <t>FORNECIMENTO E INSTALAÇÃO DE KIT REFNET de redução Modelo KHRP26M73TP9,  fabricação Daikin ou equivalente</t>
  </si>
  <si>
    <t>Kit REFNET de redução Modelo KHRP26M73TP9,  fabricação Daikin ou equivalente</t>
  </si>
  <si>
    <t>PM</t>
  </si>
  <si>
    <t>ELETROTÉCNICO COM ENCARGOS COMPLEMENTARES</t>
  </si>
  <si>
    <t>SOLDADOR COM ENCARGOS COMPLEMENTARES</t>
  </si>
  <si>
    <t>FORNECIMENTO E INSTALAÇÃO DE TUBULAÇÃO DE COBRE RÍGIDO, INCLUSO CONEXÕES, Diâmetro 3/8", #1/16", COM ISOLAMENTO EM BORRACHA ELASTOMÉRICA</t>
  </si>
  <si>
    <t>TUBO DE COBRE FLEXIVEL, D = 3/8 ", E = 0,79 MM, PARA AR-CONDICIONADO/ INSTALACOES GAS RESIDENCIAIS E COMERCIAIS</t>
  </si>
  <si>
    <t>FORNECIMENTO E INSTALAÇÃO DE TUBULAÇÃO DE COBRE RÍGIDO, INCLUSO CONEXÕES, Diâmetro 1/2", #1/16", COM ISOLAMENTO EM BORRACHA ELASTOMÉRICA</t>
  </si>
  <si>
    <t>TUBO DE COBRE FLEXIVEL, D = 1/2 ", E = 0,79 MM, PARA AR-CONDICIONADO/ INSTALACOES GAS RESIDENCIAIS E COMERCIAIS</t>
  </si>
  <si>
    <t>4.4</t>
  </si>
  <si>
    <t>FORNECIMENTO E INSTALAÇÃO DE TUBULAÇÃO DE COBRE RÍGIDO, INCLUSO CONEXÕES, Diâmetro 5/8", #1/16", COM ISOLAMENTO EM BORRACHA ELASTOMÉRICA</t>
  </si>
  <si>
    <t>TUBO DE COBRE CLASSE "I", DN = 15 MM, PARA INSTALACOES INDUSTRIAIS DE ALTA PRESSAO E VAPOR</t>
  </si>
  <si>
    <t>4.5</t>
  </si>
  <si>
    <t>FORNECIMENTO E INSTALAÇÃO DE TUBULAÇÃO DE COBRE RÍGIDO, INCLUSO CONEXÕES, Diâmetro 3/4", #1/16", COM ISOLAMENTO EM BORRACHA ELASTOMÉRICA</t>
  </si>
  <si>
    <t>4.6</t>
  </si>
  <si>
    <t>FORNECIMENTO E INSTALAÇÃO DE TUBULAÇÃO DE COBRE RÍGIDO, INCLUSO CONEXÕES, Diâmetro 7/8", #1/16", COM ISOLAMENTO EM BORRACHA ELASTOMÉRICA</t>
  </si>
  <si>
    <t>TUBO DE COBRE CLASSE "I", DN = 22 MM, PARA INSTALACOES INDUSTRIAIS DE ALTA PRESSAO E VAPOR</t>
  </si>
  <si>
    <t>4.8</t>
  </si>
  <si>
    <t>FORNECIMENTO E INSTALAÇÃO DE TUBULAÇÃO DE COBRE RÍGIDO, INCLUSO CONEXÕES, Diâmetro 1'1/8", #1/16", COM ISOLAMENTO EM BORRACHA ELASTOMÉRICA</t>
  </si>
  <si>
    <t>TUBO DE COBRE CLASSE "I", DN = 28 MM, PARA INSTALACOES INDUSTRIAIS DE ALTA PRESSAO E VAPOR</t>
  </si>
  <si>
    <t>4.9</t>
  </si>
  <si>
    <t xml:space="preserve">FORNECIMENTO E INSTALAÇÃO DE TUBULAÇÃO DE COBRE RÍGIDO, INCLUSO CONEXÕES, Diâmetro 1'1/4", #1/16", COM ISOLAMENTO EM BORRACHA ELASTOMÉRICA </t>
  </si>
  <si>
    <t>4.10</t>
  </si>
  <si>
    <t xml:space="preserve">FORNECIMENTO E INSTALAÇÃO DE TUBULAÇÃO DE COBRE RÍGIDO, INCLUSO CONEXÕES, Diâmetro 1'1/2", #1/16", COM ISOLAMENTO EM BORRACHA ELASTOMÉRICA </t>
  </si>
  <si>
    <t>4.11</t>
  </si>
  <si>
    <t>4.12</t>
  </si>
  <si>
    <t>FORNECIMENTO E INSTALAÇÃO DE MANTA DE ALUMÍNIO LISO para Rechapeamento, Incluso Cintas Metálicas e Acessórios de Fixação</t>
  </si>
  <si>
    <t>4.13</t>
  </si>
  <si>
    <t>FORNECIMENTO E INSTALAÇÃO DE VÁLVULA DE SERVIÇO, diâmetro 3/8", GBC Danfoss ou equivalente.</t>
  </si>
  <si>
    <t>Válvula de Serviço, diâmetro 3/8", GBC Danfoss ou equivalente.</t>
  </si>
  <si>
    <t>FORNECIMENTO E INSTALAÇÃO DE VÁLVULA DE SERVIÇO, diâmetro 5/8", GBC Danfos ou equivalente</t>
  </si>
  <si>
    <t>Válvula de Serviço, diâmetro 5/8", GBC Danfos ou equivalente</t>
  </si>
  <si>
    <t>FORNECIMENTO, FABRICAÇÃO E MONTAGEM DE DUTOS DE AR em MPU/ALUPIR #20mm</t>
  </si>
  <si>
    <t>ADESIVO ACRILICO/COLA DE CONTATO</t>
  </si>
  <si>
    <t>MONTADOR COM ENCARGOS COMPLEMENTARES</t>
  </si>
  <si>
    <t>MONTADOR ELETROMECÃNICO COM ENCARGOS COMPLEMENTARES</t>
  </si>
  <si>
    <t>6.1</t>
  </si>
  <si>
    <t>ELETROTÉCNICO COM ENCARGOS COMPLEMENTARES PARA INTERLIGAÇÃO DOS CIRCUITOS ELÉTRICOS</t>
  </si>
  <si>
    <t>6.2</t>
  </si>
  <si>
    <t>6.3</t>
  </si>
  <si>
    <t>6.4</t>
  </si>
  <si>
    <t>6.5</t>
  </si>
  <si>
    <t>MONTADOR ELETROMECÃNICO COM ENCARGOS COMPLEMENTARES PARA MOVIMENTAÇÃO HORIZONTAL/VERTICAL E CHUMBAMENTO DO QUADRO NAS POSIÇÃO DEFINITIVA</t>
  </si>
  <si>
    <t>6.6</t>
  </si>
  <si>
    <t>6.7</t>
  </si>
  <si>
    <t>6.8</t>
  </si>
  <si>
    <t>6.9</t>
  </si>
  <si>
    <t>PERFILADO PERFURADO SIMPLES 38 X 38 MM, CHAPA 22</t>
  </si>
  <si>
    <t>AUXILIAR DE ELETRICISTA COM ENCARGOS COMPLEMENTARES</t>
  </si>
  <si>
    <t>ELETRICISTA COM ENCARGOS COMPLEMENTARES</t>
  </si>
  <si>
    <t>6.10</t>
  </si>
  <si>
    <t>6.11</t>
  </si>
  <si>
    <t>6.12</t>
  </si>
  <si>
    <t>CONDULETE DE ALUMINIO TIPO X, PARA ELETRODUTO ROSCAVEL DE 3/4", COM TAMPA CEGA</t>
  </si>
  <si>
    <t>LIGAÇÃO TERMINAL FLEXÍVEL DE FORÇA E SINAL DAS UNIDADES EVAPORADORAS E CAIXAS DE VENTILAÇÃO, POR SEALTUBE FLEXÍVEL EM AÇO GALVANIZADO, REVESTIMENTO EM PVC", D.N. 3/4", INCLUSO CONECTOR GIRATÓRIO</t>
  </si>
  <si>
    <t>ELETRODUTO FLEXIVEL, EM ACO GALVANIZADO, REVESTIDO EXTERNAMENTE COM PVC PRETO, DIAMETRO EXTERNO DE 25 MM (3/4"), TIPO SEALTUBO</t>
  </si>
  <si>
    <t>CONECTOR RETO DE ALUMINIO PARA ELETRODUTO DE 3/4", PARA ADAPTAR ENTRADA DE ELETRODUTO METALICO FLEXIVEL EM QUADROS</t>
  </si>
  <si>
    <t>CABEAMENTO DE SINAL ENTRE UNIDADES, ISOLAÇÃO PVC, 2 x #1.0mm², SHIELDADO, 750 V</t>
  </si>
  <si>
    <t>CABO MULTIPOLAR DE COBRE, ISOLAÇÃO PVC, 2x#1.0mm², BLINDADO, 750 V</t>
  </si>
  <si>
    <t>Serviços Complementares à Entrega da Instalação Eletromecânica</t>
  </si>
  <si>
    <t>7.1</t>
  </si>
  <si>
    <t>TESTES DE ESTANQUEIDADE NOS CIRCUITOS FRIGORÍFICOS</t>
  </si>
  <si>
    <t>MECÂNICO DE EQUIPAMENTOS PESADOS COM ENCARGOS COMPLEMENTARES</t>
  </si>
  <si>
    <t>AUXILIAR DE MECÂNICO COM ENCARGOS COMPLEMENTARES</t>
  </si>
  <si>
    <t>7.2</t>
  </si>
  <si>
    <t>EXECUÇÃO DE VÁCUO NOS CIRCUITOS FRIGORÍFICOS</t>
  </si>
  <si>
    <t>7.3</t>
  </si>
  <si>
    <t>START-UP DOS SISTEMAS COM SUPERVISÃO TÉCNICA DO FABRICANTE</t>
  </si>
  <si>
    <t>ENGENHEIRO DE OBRA SÊNIOR COM ENCARGOS COMPLEMENTARES</t>
  </si>
  <si>
    <t>7.4</t>
  </si>
  <si>
    <t>7.5</t>
  </si>
  <si>
    <t>DILUENTE AGUARRAS</t>
  </si>
  <si>
    <t>L</t>
  </si>
  <si>
    <t>TINTA ESMALTE SINTETICO PREMIUM DE DUPLA ACAO GRAFITE FOSCO PARA SUPERFICIES METALICAS FERROSAS</t>
  </si>
  <si>
    <t>PINTOR COM ENCARGOS COMPLEMENTARES</t>
  </si>
  <si>
    <t>7.6</t>
  </si>
  <si>
    <t>CALÇO DE NEOPRENE, 100x100x25mm, COMO ELEMENTO INTERMEDIÁRIO/AMORTECEDOR À SUPORTAÇÃO DAS UNIDADES CONDENSADORAS</t>
  </si>
  <si>
    <t>CALÇO DE NEOPRENE, 100x100x25mm</t>
  </si>
  <si>
    <t>7.7</t>
  </si>
  <si>
    <t>7.8</t>
  </si>
  <si>
    <t>ABRACADEIRA EM ACO PARA AMARRACAO DE ELETRODUTOS, TIPO D, COM 2" E CUNHA DE FIXACAO</t>
  </si>
  <si>
    <t>7.9</t>
  </si>
  <si>
    <t>Obras Civis</t>
  </si>
  <si>
    <t>8.1</t>
  </si>
  <si>
    <t>8.2</t>
  </si>
  <si>
    <t>FABRICAÇÃO DE FÔRMA PARA ESTRUTURAS EM CONCRETO ARMADO, EM CHAPA DE MADEIRA COMPENSADA RESINADA, E = 17 MM, PARA BASES DE CONCRETO</t>
  </si>
  <si>
    <t>PREGO DE ACO POLIDO COM CABECA 17 X 21 (2 X 11)</t>
  </si>
  <si>
    <t>AJUDANTE DE CARPINTEIRO COM ENCARGOS COMPLEMENTARES</t>
  </si>
  <si>
    <t>8.3</t>
  </si>
  <si>
    <t>ARMAÇÃO DAS BASES DE NIVELAMENTO E VALAS DE PASSSAGEM UTILIZANDO AÇO CA-50 DE 12,5MM, PARA ARMAÇÃO DAS BASES DE CONCRETO</t>
  </si>
  <si>
    <t>ESPACADOR / DISTANCIADOR CIRCULAR COM ENTRADA LATERAL, EM PLASTICO, PARA VERGALHAO *4,2 A 12,5* MM, COBRIMENTO 20 MM</t>
  </si>
  <si>
    <t>ARAME RECOZIDO 16 BWG, D = 1,65 MM (0,016 KG/M) OU 18 BWG, D = 1,25 MM (0,01 KG/M)</t>
  </si>
  <si>
    <t>AJUDANTE DE ARMADOR COM ENCARGOS COMPLEMENTARES</t>
  </si>
  <si>
    <t>ARMADOR COM ENCARGOS COMPLEMENTARES</t>
  </si>
  <si>
    <t>8.4</t>
  </si>
  <si>
    <t>FURAÇÃO/ABERTURA EM ALVENARIA PARA PASSAGEM DA INFRAESTRUTURA ELETROMECÂNICA/TOMADAS DE AR EXTERNO</t>
  </si>
  <si>
    <t>8.5</t>
  </si>
  <si>
    <t>8.6</t>
  </si>
  <si>
    <t>8.7</t>
  </si>
  <si>
    <t>8.8</t>
  </si>
  <si>
    <t>8.9</t>
  </si>
  <si>
    <t>8.10</t>
  </si>
  <si>
    <t>CIMENTO PORTLAND COMPOSTO CP II-32</t>
  </si>
  <si>
    <t>8.11</t>
  </si>
  <si>
    <t>ARGAMASSA INDUSTRIALIZADA PARA REVESTIMENTOS, MISTURA E PROJEÇÃO DE 1,5 M³/H DE ARGAMASSA. AF_08/2019</t>
  </si>
  <si>
    <t>8.12</t>
  </si>
  <si>
    <t>APLICAÇÃO DE FUNDO SELADOR ACRÍLICO EM PAREDES E TETO, UMA DEMÃO, PARA ACABAMENTO DAS ÁREAS RECONSTITUÍDAS</t>
  </si>
  <si>
    <t>SELADOR ACRILICO PAREDES INTERNAS/EXTERNAS</t>
  </si>
  <si>
    <t>8.13</t>
  </si>
  <si>
    <t>APLICAÇÃO MANUAL DE PINTURA COM TINTA LÁTEX ACRÍLICA EM PAREDES E TETO, DUAS DEMÃOS, PARA ACABAMENTO DAS ÁREAS RECONSTITUÍDAS</t>
  </si>
  <si>
    <t>TINTA LATEX ACRILICA PREMIUM, COR BRANCO FOSCO</t>
  </si>
  <si>
    <t>8.14</t>
  </si>
  <si>
    <t xml:space="preserve">MONTAGEM E DESMONTAGEM DE ANDAIME TIPO TORRE </t>
  </si>
  <si>
    <t>Equipamentos / Componentes Eletromecânicos</t>
  </si>
  <si>
    <t>Rede Frigorífica e Acessórios - Sistema VRV</t>
  </si>
  <si>
    <t>FORNECIMENTO E INSTALAÇÃO DE FLUÍDO REFRIGERANTE R410a</t>
  </si>
  <si>
    <t>FORNECIMENTO E INSTALAÇÃO DE CABO DE COBRE FLEXÍVEL ISOLADO, 10,0 mm², ANTI-CHAMA, NÃO HALOGENADO, ISOLAÇÃO HEPR, 1,00kV</t>
  </si>
  <si>
    <t>FORNECIMENTO E INSTALAÇÃO DE ELETRODUTO EM AÇO GALVANIZADO SEMI-PESADO, INCLUINDO CONEXÕES, D.N. 3/4"</t>
  </si>
  <si>
    <t>FORNECIMENTO E INSTALAÇÃO DE ELETRODUTO EM AÇO GALVANIZADO SEMI-PESADO, INCLUINDO CONEXÕES, D.N. 1"</t>
  </si>
  <si>
    <t>CONDULETE DE ALUMINIO TIPO X, PARA ELETRODUTO ROSCAVEL DE 2", COM TAMPA CEGA</t>
  </si>
  <si>
    <t>CONDULETE DE ALUMINIO TIPO X, PARA ELETRODUTO ROSCAVEL DE 1", COM TAMPA CEGA</t>
  </si>
  <si>
    <t>ELETRODUTO FLEXIVEL, EM ACO GALVANIZADO, REVESTIDO EXTERNAMENTE COM PVC PRETO, DIAMETRO EXTERNO DE 32 MM (1"), TIPO SEALTUBO</t>
  </si>
  <si>
    <t>CONECTOR RETO DE ALUMINIO PARA ELETRODUTO DE 1", PARA ADAPTAR ENTRADA DE ELETRODUTO METALICO FLEXIVEL EM QUADROS</t>
  </si>
  <si>
    <t>LIGAÇÃO TERMINAL FLEXÍVEL DE FORÇA E SINAL DAS UNIDADES CONDENSADORAS, POR SEALTUBE FLEXÍVEL EM AÇO GALVANIZADO, REVESTIMENTO EM PVC", D.N. 1", INCLUSO CONECTOR GIRATÓRIO</t>
  </si>
  <si>
    <t>BDI (Serviços I Mat.):</t>
  </si>
  <si>
    <t>MASSA ÚNICA, PARA RECEBIMENTO DE PINTURA OU CERÂMICA, EM ARGAMASSA INDUSTRIALIZADA, PREPARO MECÂNICO, APLICADO COM EQUIPAMENTO DE MISTURA E PROJEÇÃO DE 1,5 M3/H DE ARGAMASSA EM FACES INTERNAS DE PAREDES, #10MM, PARA RECOMPOSIÇÃO/ACABAMENTO DAS ÁREAS DE ABERTURA E REMOÇÃO DE EQUIPAMENTOS EXISTENTES</t>
  </si>
  <si>
    <t>1.1</t>
  </si>
  <si>
    <t>3.7</t>
  </si>
  <si>
    <t>4.7</t>
  </si>
  <si>
    <t>6.13</t>
  </si>
  <si>
    <t>TREINAMENTO PARA OPERAÇÃO DO SISTEMA, MINISTRADO POR PROFISSIONAL HABILITADO A 02 SERVIDORES/PROFISSIONAIS DO FÓRUM</t>
  </si>
  <si>
    <t>VALOR TOTAL GLOBAL (R$) - COM SUPRESSÃO DO CUSTO TOTAL DE EQUIPAMENTOS</t>
  </si>
  <si>
    <r>
      <t xml:space="preserve">ETAPA: </t>
    </r>
    <r>
      <rPr>
        <sz val="12"/>
        <color indexed="8"/>
        <rFont val="Arial"/>
        <family val="2"/>
      </rPr>
      <t>EXECUTIVO</t>
    </r>
  </si>
  <si>
    <t>INSUMO</t>
  </si>
  <si>
    <t>COMP.</t>
  </si>
  <si>
    <t>CHAPA/PAINEL DE MADEIRA COMPENSADA RESINADA (MADEIRITE RESINADO ROSA) PARA FORMA DE CONCRETO, DE 2200 x 1100 MM, E = 17 MM</t>
  </si>
  <si>
    <t>PONTALETE *7,5 X 7,5* CM EM PINUS, MISTA OU EQUIVALENTE DA REGIAO - BRUTA</t>
  </si>
  <si>
    <t>SARRAFO *2,5 X 7,5* CM EM PINUS, MISTA OU EQUIVALENTE DA REGIAO - BRUTA</t>
  </si>
  <si>
    <t xml:space="preserve">FORNECIMENTO E INSTALAÇÃO DE CABO DE COBRE FLEXÍVEL ISOLADO, 2,5 mm², ANTI-CHAMA, NÃO HALOGENADO, ISOLAMENTO 750V </t>
  </si>
  <si>
    <t>FORNECIMENTO E INSTALAÇÃO DE CABO DE COBRE FLEXÍVEL ISOLADO, 6,0 mm², ANTI-CHAMA, NÃO HALOGENADO, ISOLAMENTO 750V</t>
  </si>
  <si>
    <t>R.1067/2015</t>
  </si>
  <si>
    <t>O.08.000.063013</t>
  </si>
  <si>
    <t>Tubo de cobre sem costura, rígido, espessura 1/16", diâmetro 3/4" (0,776 kg/m)</t>
  </si>
  <si>
    <t>CDHU</t>
  </si>
  <si>
    <t>O.08.000.063019</t>
  </si>
  <si>
    <t>Tubo de cobre sem costura, rígido, espessura 1/16", diâmetro 1 1/2" (1,620 kg/m)</t>
  </si>
  <si>
    <t>O.08.000.063017</t>
  </si>
  <si>
    <t>Tubo de cobre sem costura, rígido, espessura 1/16", diâmetro 1 1/4" (1,340 kg/m)</t>
  </si>
  <si>
    <t>F.03.000.024549</t>
  </si>
  <si>
    <t>Manta elastomérica para tubulação de água quente e refrigeração, espessura de 19 a 26 mm</t>
  </si>
  <si>
    <t>MANTA ALUMINIZADA NAS DUAS FACES, PARA SUBCOBERTURA,  E = *2* MM</t>
  </si>
  <si>
    <t>Q.04.000.032358</t>
  </si>
  <si>
    <t>Veneziana com tela, modelo AWG; referência comercial: Trox ou equivalente</t>
  </si>
  <si>
    <t>FITA ADESIVA ALUMINIZADA, PARA INSTALACAO DE MANTAS DE SUBCOBERTURA,  L = *5* CM</t>
  </si>
  <si>
    <t>AREIA MEDIA - POSTO JAZIDA/FORNECEDOR (RETIRADO NA JAZIDA, SEM TRANSPORTE)</t>
  </si>
  <si>
    <t>AUXILIAR DE ELETRICISTA COM ENCARGOS COMPLEMENTARES - MOVIMENTAÇÃO HORIZONTAL/VERTICAL, MONTAGEM E ALOCAÇÃO DA UNIDADE</t>
  </si>
  <si>
    <t>MONTADOR ELETROMECÂNICO COM ENCARGOS COMPLEMENTARES - INTERLIGAÇÃO MECÂNICA/FRIGORÍFICA DA UNIDADE</t>
  </si>
  <si>
    <t>ELETROTÉCNICO COM ENCARGOS COMPLEMENTARES - INTERLIGAÇÃO ELÉTRICA/ELETRÔNICA DA UNIDADE</t>
  </si>
  <si>
    <t>SILICONE ACÉTICO USO GERAL INCOLOR 280 G</t>
  </si>
  <si>
    <t>REDE DE DRENAGEM EM PVC MARROM COM ISOLAMENTO EM BORRACHA ELASTOMÉRICA, INCLUINDO CONEXÕES E ACESSÓRIOS, DN. 1" (Rede de Drenagem)</t>
  </si>
  <si>
    <t>Código I A.E</t>
  </si>
  <si>
    <t>P.08.000.043033</t>
  </si>
  <si>
    <t>Cabo de cobre flexível de 2,5 mm², isolamento 750V - isolação LSHF/A 70°C - baixa emissão de fumaça e gases</t>
  </si>
  <si>
    <t>P.04.000.042124</t>
  </si>
  <si>
    <t>Eletroduto galvanizado por imersão a quente, DN = 1´ - NBR5598</t>
  </si>
  <si>
    <t>P.04.000.042123</t>
  </si>
  <si>
    <t>Eletroduto galvanizado por imersão a quente, DN = 3/4´ - NBR5598</t>
  </si>
  <si>
    <t>P.08.000.043054</t>
  </si>
  <si>
    <t>Cabo cobre flexível 10 mm², isolamento 0,6/1 kV - isolação HEPR 90°C, têmpera mole, classe 5, baixa emissão fumaça, ref. Cabos Afumex Prysmian; Atexsil Sil; ToxFree Conduspar ou equivalente</t>
  </si>
  <si>
    <t>P.08.000.043035</t>
  </si>
  <si>
    <t>Cabo de cobre flexível de 6 mm², isolamento 750V - isolação LSHF/A 70°C - baixa emissão de fumaça e gases</t>
  </si>
  <si>
    <t>Painel MPU/ALU PIR #20mm - Painél 2,00x1,20m</t>
  </si>
  <si>
    <t>A.05.000.020358</t>
  </si>
  <si>
    <t>Remoção de entulho de obra, terra, alvenaria, concreto, argamassa, madeira, papel, plástico, metal, capacidade de 4m³</t>
  </si>
  <si>
    <t>REMOÇÃO E ARMAZENAMENTO DE ENTULHOS DA OBRA COM CAÇAMBA METÁLICA (4,00m³), ABRANGENDO RESÍDUOS METÁLICOS, PLÁSTICOS, MADEIRA, PAPEL CONCRETO, ARGAMASSA, TERRA E/OU ALVENARIA, INCLUSIVE TRANSPORTE AO LOCAL DE DESPEJO/DESTINAÇÃO</t>
  </si>
  <si>
    <t>Fluído Refrigerante R-410a (Cilindro com 11,35kg)</t>
  </si>
  <si>
    <r>
      <rPr>
        <b/>
        <sz val="12"/>
        <color indexed="8"/>
        <rFont val="Arial"/>
        <family val="2"/>
      </rPr>
      <t xml:space="preserve">UNIDADE: </t>
    </r>
    <r>
      <rPr>
        <sz val="12"/>
        <color indexed="8"/>
        <rFont val="Arial"/>
        <family val="2"/>
      </rPr>
      <t>EDIFÍCIO SEDE</t>
    </r>
  </si>
  <si>
    <r>
      <rPr>
        <b/>
        <sz val="12"/>
        <color indexed="8"/>
        <rFont val="Arial"/>
        <family val="2"/>
      </rPr>
      <t>REVISÃO:</t>
    </r>
    <r>
      <rPr>
        <sz val="12"/>
        <color indexed="8"/>
        <rFont val="Arial"/>
        <family val="2"/>
      </rPr>
      <t xml:space="preserve"> 00</t>
    </r>
  </si>
  <si>
    <t>Caixa de ventilação, Modelo FH315, Filtragem G4+M5, 220V, 1F, 60Hz, c/ Potenciômetro, fabricação Sicflux ou equivalente</t>
  </si>
  <si>
    <t>FORNECIMENTO E INSTALAÇÃO DE CAIXA DE VENTILAÇÃO, Q=1.475,00m³/h, h=38mmCA, Mod. FH315, Filtragem G4+F8, 220V, 1F, 60Hz, c/ Potenciômetro, fabricação Sicflux ou equivalente</t>
  </si>
  <si>
    <t>FORNECIMENTO E INSTALAÇÃO DE TUBULAÇÃO DE COBRE RÍGIDO, INCLUSO CONEXÕES, Diâmetro 1", #1/16", COM ISOLAMENTO EM BORRACHA ELASTOMÉRICA</t>
  </si>
  <si>
    <t>O.08.000.063015</t>
  </si>
  <si>
    <t>Tubo de cobre sem costura, rígido, espessura 1/16", diâmetro 1" (1,060 kg/m)</t>
  </si>
  <si>
    <t>25.001.000004.MAT</t>
  </si>
  <si>
    <t>Chumbador expansível Ø 3/8" x 2 1/2"</t>
  </si>
  <si>
    <t>PORCA ZINCADA, SEXTAVADA, DIAMETRO 3/8"</t>
  </si>
  <si>
    <t>P.04.000.042301</t>
  </si>
  <si>
    <t>Tirante/vergalhão aço rosca total de 3/8´</t>
  </si>
  <si>
    <t>16.010.000001.MAT</t>
  </si>
  <si>
    <t>Arruela em zamak Ø 1/2"</t>
  </si>
  <si>
    <t>TCPO</t>
  </si>
  <si>
    <t>REMOÇÃO DE FORRO DE GESSO, DE FORMA MANUAL, SEM REAPROVEITAMENTO. AF_09/2023</t>
  </si>
  <si>
    <t>O.02.000.062503</t>
  </si>
  <si>
    <t>Tubo de PVC rígido soldável marrom, DN= 32mm (1´)</t>
  </si>
  <si>
    <t>VIBRADOR DE IMERSÃO, DIÂMETRO DE PONTEIRA 45MM, MOTOR ELÉTRICO TRIFÁSICO POTÊNCIA DE 2 CV - CHP DIURNO</t>
  </si>
  <si>
    <t>VIBRADOR DE IMERSÃO, DIÂMETRO DE PONTEIRA 45MM, MOTOR ELÉTRICO TRIFÁSICO POTÊNCIA DE 2 CV - CHI DIURNO</t>
  </si>
  <si>
    <t>SERRA CIRCULAR DE BANCADA COM MOTOR ELÉTRICO POTÊNCIA DE 5HP, COM COIFA PARA DISCO 10" - CHP DIURNO</t>
  </si>
  <si>
    <t>SERRA CIRCULAR DE BANCADA COM MOTOR ELÉTRICO POTÊNCIA DE 5HP, COM COIFA PARA DISCO 10" - CHI DIURNO</t>
  </si>
  <si>
    <t>CORTE E DOBRA DE AÇO CA-50, DIÂMETRO DE 12,5 MM</t>
  </si>
  <si>
    <t>TRANSPORTE HORIZONTAL MANUAL, DE TUBO DE AÇO CARBONO LEVE OU MÉDIO, PRETO OU GALVANIZADO, COM DIÂMETRO MAIOR QUE 32 MM E MENOR OU IGUAL A 65 MM (UNIDADE: MXKM)</t>
  </si>
  <si>
    <t>*3. Taxa SELIC Vigente: 12,75% (DU = 21).</t>
  </si>
  <si>
    <t>cj</t>
  </si>
  <si>
    <t>Preço Unitário</t>
  </si>
  <si>
    <r>
      <t xml:space="preserve">QUALIFICAÇÃO: </t>
    </r>
    <r>
      <rPr>
        <sz val="10"/>
        <color theme="1"/>
        <rFont val="Arial"/>
        <family val="2"/>
      </rPr>
      <t>ENG. MECÂNICA</t>
    </r>
  </si>
  <si>
    <t>Preço Total Global com BDI</t>
  </si>
  <si>
    <r>
      <t xml:space="preserve">CONTRATANTE: </t>
    </r>
    <r>
      <rPr>
        <sz val="12"/>
        <color rgb="FF000000"/>
        <rFont val="Arial"/>
        <family val="2"/>
      </rPr>
      <t>CÂMARA MUNICIPAL DE PIEDADE</t>
    </r>
  </si>
  <si>
    <t>*1. Alíquota base do ISS (2,00%) extraída da Lei Municipal nº 3.759, de 18 de dezembro de 2006, para a Atividade Código 7.02</t>
  </si>
  <si>
    <r>
      <t xml:space="preserve">CLIENTE: </t>
    </r>
    <r>
      <rPr>
        <sz val="12"/>
        <color rgb="FF000000"/>
        <rFont val="Arial"/>
        <family val="2"/>
      </rPr>
      <t>CÂMARA MUNICIPAL DE PIEDADE</t>
    </r>
  </si>
  <si>
    <t>FORNECIMENTO E INSTALAÇÃO DE KIT DE CONEXÃO DE TUBULAÇÃO Modelo  BHFP22P151, fabricação Daikin ou equivalente</t>
  </si>
  <si>
    <t>FORNECIMENTO E INSTALAÇÃO DE Kit de Controle Centralizado, Mod. Reiri for Office, Combinação DCPF06BR+DCPA01, fabricação Daikin ou equivalente</t>
  </si>
  <si>
    <t>Kit de Controle Centralizado, Mod. Reiri for Office, Combinação DCPF06BR+DCPA01, fabricação Daikin ou equivalente</t>
  </si>
  <si>
    <t>Q.04.000.031441</t>
  </si>
  <si>
    <t>Grelha de insuflação ou retorno, dupla deflexão e registro, lâminas convergentes, aletas verticais ajustáveis individualmente, em alumínio anodizado, tamanho: acima de 0,1 até 0,5 m²; ref. mod. VAT-DG da Trox ou equivalente</t>
  </si>
  <si>
    <t>FORNECIMENTO E INSTALAÇÃO de Grelha de Insuflamento/Retorno, Mod. VAT-DG, Dimensões 225x165mm, fabricação Trox ou equivalente</t>
  </si>
  <si>
    <t>Q.04.000.031409</t>
  </si>
  <si>
    <t>Damper de regulagem manual, modelo RG-B; tamanho: 0,10 m² a 0,14 m²; referência comercial: Trox, Difus-ar ou equivalente</t>
  </si>
  <si>
    <t>FORNECIMENTO E INSTALAÇÃO de Damper de Regulagem, Mod. JN-B, Dimensões 200x250mm, fabricação Trox ou equivalente</t>
  </si>
  <si>
    <t>FORNECIMENTO E INSTALAÇÃO de Veneziana para Tomada de Ar Externo, Mod. AWG, Dimensões 397x197mm, fabricação Trox ou equivalente</t>
  </si>
  <si>
    <t>Quadro Elétrico - QF-AC - FORNECIMENTO E INSTALAÇÃO</t>
  </si>
  <si>
    <t>Quadro Elétrico - QF-AC - Conjunto Fabricado, Completo, Conforme Detalhamento Construtivo de Projeto e Caderno Técnico</t>
  </si>
  <si>
    <t>FORNECIMENTO E INSTALAÇÃO de Controlador Remoto com Fio, Mod. BRC2E61,  fabricação Daikin ou equivalente</t>
  </si>
  <si>
    <t>Controlador Remoto com Fio, Mod. BRC2E61,  fabricação Daikin</t>
  </si>
  <si>
    <t>PAE.PE.HVAC.CMP.00</t>
  </si>
  <si>
    <t>EQUIPE TÉCNICA CONSTITUÍDA POR 01 ENGENHEIRO MECÂNICO, COM ENCARGOS COMPLEMENTARES</t>
  </si>
  <si>
    <t>PINTURA ANTICORROSIVA E DE ACABAMENTO DOS ELETRODUTOS, TUBULAÇÕES, PERFILADOS, LINHAS RECHAPEADAS E DEMAIS ELEMENTOS METÁLICOS APARENTES</t>
  </si>
  <si>
    <t>P.04.000.042126</t>
  </si>
  <si>
    <t>Eletroduto galvanizado por imersão a quente, DN = 1 1/2´ - NBR5598</t>
  </si>
  <si>
    <t>FORNECIMENTO E INSTALAÇÃO DE ELETRODUTO EM AÇO GALVANIZADO SEMI-PESADO, INCLUINDO CONEXÕES, D.N. 1'1/2"</t>
  </si>
  <si>
    <t>P.26.000.044056</t>
  </si>
  <si>
    <t>Disjuntor em caixa moldada tripolar de 480 V, de 70A até 150A, ref. Det 134070/134080/134090/1340100/134125 e 134150 da GE ou equivalente</t>
  </si>
  <si>
    <t>DISJUNTOR TRIPOLAR EM CAIXA MOLDADA, 125,00A, Icc = 18kA - FORNECIMENTO E INSTALAÇÃO</t>
  </si>
  <si>
    <t>P.08.000.043057</t>
  </si>
  <si>
    <t>Cabo cobre flexível 35 mm², isolamento 0,6/1 kV - isolação HEPR 90°C, têmpera mole, classe 5, baixa emissão fumaça, ref. Cabos Afumex Prysmian; Atexsil Sil; ToxFree Conduspar ou equivalente</t>
  </si>
  <si>
    <t>FORNECIMENTO E INSTALAÇÃO DE CABO DE COBRE FLEXÍVEL ISOLADO, 35,0 mm², ANTI-CHAMA, NÃO HALOGENADO, ISOLAÇÃO HEPR, 1,00kV</t>
  </si>
  <si>
    <t>P.08.000.043056</t>
  </si>
  <si>
    <t>Cabo cobre flexível 25 mm², isolamento 0,6/1 kV - isolação HEPR 90°C, têmpera mole, classe 5, baixa emissão fumaça, ref. Cabos Afumex Prysmian; Atexsil Sil; ToxFree Conduspar ou equivalente</t>
  </si>
  <si>
    <t>FORNECIMENTO E INSTALAÇÃO DE CABO DE COBRE FLEXÍVEL ISOLADO, 25,0 mm², ANTI-CHAMA, NÃO HALOGENADO, ISOLAÇÃO HEPR, 1,00kV</t>
  </si>
  <si>
    <t>REMOÇÃO E REINSTALAÇÃO DE LUMINÁRIAS EXISTENTES, INCLUSIVE ELEMENTOS DE SUPORTAÇÃO E INFRAESTRUTURA</t>
  </si>
  <si>
    <t>FORNECIMENTO E INSTALAÇÃO DO CONJUNTO DE SUPORTAÇÃO DO GABINETE DE VENTILAÇÃO</t>
  </si>
  <si>
    <t>RASGO EM ALVENARIA, PARA INSTALAÇÃO DAS CAIXAS DE LIGAÇÃO DAS UNIDADES EVAPORADORAS</t>
  </si>
  <si>
    <t>FORRO EM PLACAS DE GESSO, PARA AMBIENTES COMERCIAIS.</t>
  </si>
  <si>
    <t xml:space="preserve">FORNECIMENTO E INSTALAÇÃO DE FORRO EM PLACAS DE GESSO, COM PINTURA ANTIMOFO, APOIADO EM PERFIS DE AÇO GALVANIZADO, PARA RECONSTITUIÇÃO DAS ÁREAS AFETADAS PELA OBRA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</si>
  <si>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02.02.150</t>
  </si>
  <si>
    <t>Locação de container tipo depósito - área mínima de 13,80 m²</t>
  </si>
  <si>
    <t>unxmês</t>
  </si>
  <si>
    <t>LOCAÇÃO DE CONTAINER METÁLICO TIPO DEPÓSITO/ALMOXARIFADO DE 10,60m²</t>
  </si>
  <si>
    <t>FORNECIMENTO E INSTALAÇÃO de Porta de Inspeção para Duto, Pré-Fabricada, Dimensões 250x120mm, fabricação Refrin ou equivalente</t>
  </si>
  <si>
    <t>Porta de Inspeção para Duto, Pré-Fabricada, Dimensões 250x120mm, fabricação Refrin ou equivalente</t>
  </si>
  <si>
    <t>5.5</t>
  </si>
  <si>
    <t xml:space="preserve">FITA ISOLANTE ADESIVA ANTICHAMA, USO ATE 750 V, EM ROLO DE 19 MM X 20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</si>
  <si>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P.04.000.042290</t>
  </si>
  <si>
    <t>Perfilado perfurado 38 x 38 mm em chapa 14 pré-zincada</t>
  </si>
  <si>
    <t>FORNECIMENTO E INSTALAÇÃO DE CONJUNTO DE SUPORTAÇÃO DA IFRAESTRUTURA ELETROMECÂNICA, POR PERFILADO DE SEÇÃO 38X19 MM (14 E 22GSG) E ABRAÇADEIRAS METÁLICAS TIPO CUNHA</t>
  </si>
  <si>
    <t>Redes de Distribuição de Ar - Dutos de Ar Externo e Acessórios</t>
  </si>
  <si>
    <t>Instalações Elétricas - QFAC, Circuitos Terminais e Circuitos de Sinal entre Unidades I Automação</t>
  </si>
  <si>
    <t xml:space="preserve">                          PLANILHA ORÇAMENTÁRIA SINTÉTICA - CÂMARA MUNICIPAL DE PIEDADE</t>
  </si>
  <si>
    <t xml:space="preserve">Contratante: </t>
  </si>
  <si>
    <t>Contratada:</t>
  </si>
  <si>
    <t xml:space="preserve">OBJETO / AÇÃO: </t>
  </si>
  <si>
    <t xml:space="preserve">UNIDADE: </t>
  </si>
  <si>
    <t xml:space="preserve">PROJETO: </t>
  </si>
  <si>
    <t>CRONOGRAMA                               FÍSICO FINANCEIRO</t>
  </si>
  <si>
    <t xml:space="preserve">M  E  D  I  Ç  Õ  E  S    M E N S A I S </t>
  </si>
  <si>
    <t xml:space="preserve">1ª </t>
  </si>
  <si>
    <t xml:space="preserve">2ª </t>
  </si>
  <si>
    <t xml:space="preserve">3ª </t>
  </si>
  <si>
    <t>4ª</t>
  </si>
  <si>
    <t xml:space="preserve">TOTAL  DAS  MEDIÇÕES </t>
  </si>
  <si>
    <t xml:space="preserve">TOTAL </t>
  </si>
  <si>
    <t xml:space="preserve">   </t>
  </si>
  <si>
    <t>CRONOGRAMA FÍSICO FINANCEIRO - CÂMARA MUNICIPAL DE PIEDADE</t>
  </si>
  <si>
    <t>IMPLANTAÇÃO DE SISTEMA DE HVAC E INSTALAÇÕES ELÉTRICAS</t>
  </si>
  <si>
    <t>EDIFÍCIO SEDE - GABINETES E SALA DE REUNIÃO</t>
  </si>
  <si>
    <t>EXECUTIVO - IMPLANTAÇÃO DE SISTEMAS DE HVAC E REESTRUTURAÇÃO ELÉTRICA</t>
  </si>
  <si>
    <t>FORNECIMENTO E INSTALAÇÃO DE UNIDADE EVAPORADORA VRV - Hi-Wall - 6.100 kcal/h - Modelo FXAQ63AVM, fabricação Daikin ou equivalente</t>
  </si>
  <si>
    <t>Evaporador Hi-Wall - 6.100 kcal/h - Modelo FXAQ63AVM, fabricação Daikin ou equivalente</t>
  </si>
  <si>
    <t>Kit de Conexão de Tubulação Modelo BHFP22P151, fabricação Daikin ou equivalente</t>
  </si>
  <si>
    <t xml:space="preserve">                          PLANILHA ORÇAMENTÁRIA ANALÍTICA - CÂMARA MUNICIPAL DE PIEDADE</t>
  </si>
  <si>
    <t xml:space="preserve">                          PLANILHA ORÇAMENTÁRIA DE COMPOSIÇÃO - CÂMARA MUNICIPAL DE PIEDADE</t>
  </si>
  <si>
    <t xml:space="preserve">                          CURVA ABC DE INSUMOS - CÂMARA MUNICIPAL DE PIEDADE</t>
  </si>
  <si>
    <t>1ª Medição -------------------------&gt;</t>
  </si>
  <si>
    <t>Condicionada a entrega de todos os insumos (equipamentos, componentes e materiais) no local da Obra.</t>
  </si>
  <si>
    <t>2ª Medição -------------------------&gt;</t>
  </si>
  <si>
    <t>Condicionada a entrega da instalação, incluindo intervenções civis, dedicadas a Sala de Reunião e Gabinetes 01 a 05</t>
  </si>
  <si>
    <t>3ª Medição -------------------------&gt;</t>
  </si>
  <si>
    <t>4ª Medição -------------------------&gt;</t>
  </si>
  <si>
    <t>Condicionada a entrega da instalação, incluindo intervenções civis, dedicadas a Sala de Reunião e Gabinetes 06 a 11</t>
  </si>
  <si>
    <t>Geral -------------------------&gt;</t>
  </si>
  <si>
    <t>Condicionada a entrega definitiva da instalação, contemplando o start-up das unidades, a entrega do sistema de controle centralizado, o término</t>
  </si>
  <si>
    <t>das intervenções civis com acabamento das áreas afetadas, testes, ajustes/balanceamento do sistema e entrega do projeto como-construído.</t>
  </si>
  <si>
    <t xml:space="preserve">Notas/Condicionantes:   </t>
  </si>
  <si>
    <t>O valor efetivo de cada medição será aferido à partir de levantamento unitário de cada insumo efetivamente fornecido e/ou executado pela Contratada.</t>
  </si>
  <si>
    <t>COMPOSIÇÃO ANALÍTICA DO BD</t>
  </si>
  <si>
    <t>CÂMARA MUNICIPAL DE PIEDADE</t>
  </si>
  <si>
    <t>Edifício Sede</t>
  </si>
  <si>
    <t>ESCAVAÇÃO MANUAL DE VALA COM PROFUNDIDADE MENOR OU IGUAL A 1,30 M. AF_02/2021</t>
  </si>
  <si>
    <t>M3</t>
  </si>
  <si>
    <t>PLANTIO DE FORRAÇÃO. AF_05/2018</t>
  </si>
  <si>
    <t>M2</t>
  </si>
  <si>
    <t>ESCAVAÇÃO MANUAL DE SOLO PARA IMPLANTAÇÃO DA CANALETA DE CONCRETO E BASE DE SUPORTAÇÃO E NIVELAMENTO DAS UNIDADES CONDENSADORAS, INCLUSIVE FORNECIMENTO E PLANTIO DE FORRAÇÃO NAS ÁREAS AFETADAS</t>
  </si>
  <si>
    <t>CONCRETAGEM DE CANALETA DE CONCRETO, BASE DE SUPORTAÇÃO E NIVELAMENTO DAS UNIDADES CONDENSADORAS E RECOMPOSIÇÃO DE CALÇADA, NAS ÁREAS AFETADAS PELA OBRA</t>
  </si>
  <si>
    <t>8.15</t>
  </si>
  <si>
    <r>
      <t xml:space="preserve">ENCARGOS SOCIAIS (DESONERADO): </t>
    </r>
    <r>
      <rPr>
        <sz val="12"/>
        <color indexed="8"/>
        <rFont val="Arial"/>
        <family val="2"/>
      </rPr>
      <t>HORISTA: 85,80% I MENSALISTA: 47,74% (REF. SINAPI - 05/2024)</t>
    </r>
  </si>
  <si>
    <r>
      <t xml:space="preserve">REF. PREÇO: </t>
    </r>
    <r>
      <rPr>
        <sz val="12"/>
        <color rgb="FF000000"/>
        <rFont val="Arial"/>
        <family val="2"/>
      </rPr>
      <t>SINAPI REF. 05/2024 - SÃO PAULO  I  CDHU - Planilha Versão 191.</t>
    </r>
  </si>
  <si>
    <t>"Execução, Por Administração, Empreitada Ou Subempreitada, De Obras De Construção Civil, Hidráulica Ou Elétrica E De Outras Obras Semelhantes". ISS adotado obtido pela alíquota base, ponderada pela participação percentual do custo de M.O em relação ao custo total (2,00% * 56,65% = 1,13%).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</si>
</sst>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(* #,##0.00_);_(* \(#,##0.00\);_(* &quot;-&quot;??_);_(@_)"/>
    <numFmt numFmtId="166" formatCode="_(&quot;R$ &quot;* #,##0.00_);_(&quot;R$ &quot;* \(#,##0.00\);_(&quot;R$ &quot;* &quot;-&quot;??_);_(@_)"/>
    <numFmt numFmtId="167" formatCode="_-[$R$-416]* #,##0.00_-;\-[$R$-416]* #,##0.00_-;_-[$R$-416]* &quot;-&quot;??_-;_-@_-"/>
    <numFmt numFmtId="168" formatCode="0.0000"/>
    <numFmt numFmtId="169" formatCode="&quot;R$&quot;\ #,##0.00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9"/>
      <name val="Calibri"/>
      <family val="2"/>
      <scheme val="minor"/>
    </font>
    <font>
      <b/>
      <u/>
      <sz val="12"/>
      <color theme="1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9" fillId="0" borderId="0"/>
    <xf numFmtId="0" fontId="1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3">
    <xf numFmtId="0" fontId="0" fillId="0" borderId="0" xfId="0"/>
    <xf numFmtId="0" fontId="7" fillId="2" borderId="4" xfId="0" applyFont="1" applyFill="1" applyBorder="1" applyAlignment="1">
      <alignment horizontal="left"/>
    </xf>
    <xf numFmtId="0" fontId="0" fillId="0" borderId="0" xfId="0" applyFont="1"/>
    <xf numFmtId="44" fontId="7" fillId="2" borderId="4" xfId="1" applyFont="1" applyFill="1" applyBorder="1" applyAlignment="1">
      <alignment horizontal="left"/>
    </xf>
    <xf numFmtId="0" fontId="12" fillId="0" borderId="0" xfId="0" applyFont="1" applyBorder="1"/>
    <xf numFmtId="44" fontId="12" fillId="0" borderId="0" xfId="1" applyFont="1" applyBorder="1"/>
    <xf numFmtId="164" fontId="12" fillId="0" borderId="0" xfId="0" applyNumberFormat="1" applyFont="1" applyBorder="1"/>
    <xf numFmtId="0" fontId="15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Border="1"/>
    <xf numFmtId="0" fontId="15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1" fillId="4" borderId="16" xfId="0" applyNumberFormat="1" applyFont="1" applyFill="1" applyBorder="1" applyAlignment="1">
      <alignment vertical="center"/>
    </xf>
    <xf numFmtId="0" fontId="17" fillId="5" borderId="10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left"/>
    </xf>
    <xf numFmtId="0" fontId="17" fillId="5" borderId="10" xfId="0" applyFont="1" applyFill="1" applyBorder="1" applyAlignment="1">
      <alignment horizontal="right"/>
    </xf>
    <xf numFmtId="44" fontId="17" fillId="5" borderId="10" xfId="1" applyFont="1" applyFill="1" applyBorder="1" applyAlignment="1">
      <alignment horizontal="right"/>
    </xf>
    <xf numFmtId="0" fontId="15" fillId="5" borderId="10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left" vertical="center" wrapText="1"/>
    </xf>
    <xf numFmtId="0" fontId="15" fillId="0" borderId="10" xfId="0" applyFont="1" applyBorder="1"/>
    <xf numFmtId="0" fontId="15" fillId="2" borderId="1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right" vertical="center" wrapText="1"/>
    </xf>
    <xf numFmtId="0" fontId="15" fillId="5" borderId="10" xfId="0" applyFont="1" applyFill="1" applyBorder="1" applyAlignment="1">
      <alignment horizontal="justify" vertical="center" wrapText="1"/>
    </xf>
    <xf numFmtId="0" fontId="15" fillId="0" borderId="10" xfId="0" applyFont="1" applyBorder="1" applyAlignment="1">
      <alignment horizontal="right" vertical="center" wrapText="1"/>
    </xf>
    <xf numFmtId="0" fontId="15" fillId="0" borderId="10" xfId="0" applyFont="1" applyBorder="1" applyAlignment="1">
      <alignment horizontal="justify" vertical="center" wrapText="1"/>
    </xf>
    <xf numFmtId="164" fontId="15" fillId="5" borderId="12" xfId="0" applyNumberFormat="1" applyFont="1" applyFill="1" applyBorder="1" applyAlignment="1">
      <alignment horizontal="right" vertical="center" wrapText="1"/>
    </xf>
    <xf numFmtId="164" fontId="15" fillId="2" borderId="12" xfId="0" applyNumberFormat="1" applyFont="1" applyFill="1" applyBorder="1" applyAlignment="1">
      <alignment horizontal="right" vertical="center" wrapText="1"/>
    </xf>
    <xf numFmtId="164" fontId="15" fillId="2" borderId="16" xfId="0" applyNumberFormat="1" applyFont="1" applyFill="1" applyBorder="1" applyAlignment="1">
      <alignment horizontal="right" vertical="center" wrapText="1"/>
    </xf>
    <xf numFmtId="0" fontId="22" fillId="4" borderId="18" xfId="0" applyFont="1" applyFill="1" applyBorder="1" applyAlignment="1">
      <alignment horizontal="center"/>
    </xf>
    <xf numFmtId="0" fontId="22" fillId="4" borderId="18" xfId="0" applyFont="1" applyFill="1" applyBorder="1" applyAlignment="1">
      <alignment horizontal="justify" vertical="center" wrapText="1"/>
    </xf>
    <xf numFmtId="0" fontId="22" fillId="4" borderId="18" xfId="0" applyFont="1" applyFill="1" applyBorder="1" applyAlignment="1">
      <alignment horizontal="left" vertical="center" wrapText="1"/>
    </xf>
    <xf numFmtId="44" fontId="15" fillId="2" borderId="10" xfId="1" applyFont="1" applyFill="1" applyBorder="1" applyAlignment="1">
      <alignment horizontal="right" vertical="center" wrapText="1"/>
    </xf>
    <xf numFmtId="0" fontId="17" fillId="2" borderId="10" xfId="0" applyFont="1" applyFill="1" applyBorder="1" applyAlignment="1">
      <alignment horizontal="left"/>
    </xf>
    <xf numFmtId="0" fontId="17" fillId="2" borderId="10" xfId="0" applyFont="1" applyFill="1" applyBorder="1" applyAlignment="1">
      <alignment horizontal="right"/>
    </xf>
    <xf numFmtId="44" fontId="17" fillId="2" borderId="10" xfId="1" applyFont="1" applyFill="1" applyBorder="1" applyAlignment="1">
      <alignment horizontal="right"/>
    </xf>
    <xf numFmtId="0" fontId="17" fillId="2" borderId="21" xfId="0" applyFont="1" applyFill="1" applyBorder="1" applyAlignment="1">
      <alignment horizontal="left"/>
    </xf>
    <xf numFmtId="0" fontId="15" fillId="5" borderId="10" xfId="0" applyNumberFormat="1" applyFont="1" applyFill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22" fillId="6" borderId="4" xfId="0" applyFont="1" applyFill="1" applyBorder="1"/>
    <xf numFmtId="0" fontId="22" fillId="6" borderId="4" xfId="0" applyFont="1" applyFill="1" applyBorder="1" applyAlignment="1">
      <alignment horizontal="center"/>
    </xf>
    <xf numFmtId="0" fontId="22" fillId="6" borderId="3" xfId="0" applyFont="1" applyFill="1" applyBorder="1"/>
    <xf numFmtId="0" fontId="17" fillId="2" borderId="10" xfId="0" applyNumberFormat="1" applyFont="1" applyFill="1" applyBorder="1" applyAlignment="1">
      <alignment horizontal="center"/>
    </xf>
    <xf numFmtId="0" fontId="15" fillId="2" borderId="10" xfId="0" applyFont="1" applyFill="1" applyBorder="1" applyAlignment="1">
      <alignment horizontal="justify" vertical="center" wrapText="1"/>
    </xf>
    <xf numFmtId="0" fontId="15" fillId="2" borderId="18" xfId="0" applyFont="1" applyFill="1" applyBorder="1" applyAlignment="1">
      <alignment horizontal="justify" vertical="center" wrapText="1"/>
    </xf>
    <xf numFmtId="44" fontId="15" fillId="0" borderId="10" xfId="1" applyFont="1" applyBorder="1" applyAlignment="1">
      <alignment horizontal="right" vertical="center" wrapText="1"/>
    </xf>
    <xf numFmtId="44" fontId="15" fillId="2" borderId="18" xfId="1" applyFont="1" applyFill="1" applyBorder="1" applyAlignment="1">
      <alignment horizontal="right" vertical="center" wrapText="1"/>
    </xf>
    <xf numFmtId="44" fontId="15" fillId="2" borderId="15" xfId="1" applyFont="1" applyFill="1" applyBorder="1" applyAlignment="1">
      <alignment horizontal="right" vertical="center" wrapText="1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6" borderId="4" xfId="0" applyFont="1" applyFill="1" applyBorder="1"/>
    <xf numFmtId="0" fontId="6" fillId="6" borderId="4" xfId="0" applyFont="1" applyFill="1" applyBorder="1" applyAlignment="1">
      <alignment horizontal="center"/>
    </xf>
    <xf numFmtId="0" fontId="6" fillId="6" borderId="3" xfId="0" applyFont="1" applyFill="1" applyBorder="1"/>
    <xf numFmtId="0" fontId="6" fillId="4" borderId="4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9" fillId="4" borderId="4" xfId="0" applyFont="1" applyFill="1" applyBorder="1"/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right" vertical="center" wrapText="1"/>
    </xf>
    <xf numFmtId="44" fontId="10" fillId="4" borderId="5" xfId="1" applyFont="1" applyFill="1" applyBorder="1" applyAlignment="1">
      <alignment horizontal="right" vertical="center" wrapText="1"/>
    </xf>
    <xf numFmtId="2" fontId="6" fillId="4" borderId="5" xfId="0" applyNumberFormat="1" applyFont="1" applyFill="1" applyBorder="1" applyAlignment="1">
      <alignment horizontal="right" vertical="center" wrapText="1"/>
    </xf>
    <xf numFmtId="44" fontId="6" fillId="4" borderId="5" xfId="1" applyFont="1" applyFill="1" applyBorder="1" applyAlignment="1">
      <alignment horizontal="right" vertical="center" wrapText="1"/>
    </xf>
    <xf numFmtId="0" fontId="12" fillId="2" borderId="0" xfId="0" applyFont="1" applyFill="1" applyBorder="1"/>
    <xf numFmtId="164" fontId="15" fillId="2" borderId="11" xfId="0" applyNumberFormat="1" applyFont="1" applyFill="1" applyBorder="1" applyAlignment="1">
      <alignment horizontal="right" vertical="center" wrapText="1"/>
    </xf>
    <xf numFmtId="164" fontId="15" fillId="2" borderId="23" xfId="0" applyNumberFormat="1" applyFont="1" applyFill="1" applyBorder="1" applyAlignment="1">
      <alignment horizontal="right" vertical="center" wrapText="1"/>
    </xf>
    <xf numFmtId="164" fontId="22" fillId="4" borderId="22" xfId="0" applyNumberFormat="1" applyFont="1" applyFill="1" applyBorder="1" applyAlignment="1">
      <alignment horizontal="right" vertical="center" wrapText="1"/>
    </xf>
    <xf numFmtId="164" fontId="22" fillId="4" borderId="22" xfId="0" applyNumberFormat="1" applyFont="1" applyFill="1" applyBorder="1" applyAlignment="1">
      <alignment horizontal="justify" vertical="center" wrapText="1"/>
    </xf>
    <xf numFmtId="164" fontId="11" fillId="4" borderId="23" xfId="0" applyNumberFormat="1" applyFont="1" applyFill="1" applyBorder="1" applyAlignment="1">
      <alignment horizontal="left" vertical="center"/>
    </xf>
    <xf numFmtId="44" fontId="6" fillId="4" borderId="3" xfId="1" applyFont="1" applyFill="1" applyBorder="1" applyAlignment="1">
      <alignment horizontal="justify" vertical="center" wrapText="1"/>
    </xf>
    <xf numFmtId="44" fontId="6" fillId="4" borderId="4" xfId="1" applyFont="1" applyFill="1" applyBorder="1" applyAlignment="1">
      <alignment horizontal="left"/>
    </xf>
    <xf numFmtId="2" fontId="6" fillId="4" borderId="3" xfId="0" applyNumberFormat="1" applyFont="1" applyFill="1" applyBorder="1" applyAlignment="1">
      <alignment horizontal="justify" vertical="center" wrapText="1"/>
    </xf>
    <xf numFmtId="44" fontId="17" fillId="2" borderId="15" xfId="1" applyFont="1" applyFill="1" applyBorder="1" applyAlignment="1">
      <alignment horizontal="right"/>
    </xf>
    <xf numFmtId="164" fontId="22" fillId="4" borderId="19" xfId="0" applyNumberFormat="1" applyFont="1" applyFill="1" applyBorder="1" applyAlignment="1">
      <alignment horizontal="justify" vertical="center" wrapText="1"/>
    </xf>
    <xf numFmtId="164" fontId="22" fillId="4" borderId="19" xfId="0" applyNumberFormat="1" applyFont="1" applyFill="1" applyBorder="1" applyAlignment="1">
      <alignment horizontal="right" vertical="center" wrapText="1"/>
    </xf>
    <xf numFmtId="10" fontId="6" fillId="4" borderId="4" xfId="1" applyNumberFormat="1" applyFont="1" applyFill="1" applyBorder="1" applyAlignment="1">
      <alignment horizontal="left"/>
    </xf>
    <xf numFmtId="10" fontId="6" fillId="6" borderId="23" xfId="0" applyNumberFormat="1" applyFont="1" applyFill="1" applyBorder="1" applyAlignment="1">
      <alignment horizontal="left" vertical="center"/>
    </xf>
    <xf numFmtId="0" fontId="17" fillId="5" borderId="10" xfId="0" applyNumberFormat="1" applyFont="1" applyFill="1" applyBorder="1" applyAlignment="1">
      <alignment horizontal="center"/>
    </xf>
    <xf numFmtId="0" fontId="22" fillId="4" borderId="25" xfId="0" applyFont="1" applyFill="1" applyBorder="1" applyAlignment="1">
      <alignment horizontal="center"/>
    </xf>
    <xf numFmtId="0" fontId="22" fillId="4" borderId="25" xfId="0" applyFont="1" applyFill="1" applyBorder="1" applyAlignment="1">
      <alignment horizontal="left" vertical="center" wrapText="1"/>
    </xf>
    <xf numFmtId="0" fontId="22" fillId="4" borderId="25" xfId="0" applyFont="1" applyFill="1" applyBorder="1" applyAlignment="1">
      <alignment horizontal="justify" vertical="center" wrapText="1"/>
    </xf>
    <xf numFmtId="164" fontId="22" fillId="4" borderId="26" xfId="0" applyNumberFormat="1" applyFont="1" applyFill="1" applyBorder="1" applyAlignment="1">
      <alignment horizontal="justify" vertical="center" wrapText="1"/>
    </xf>
    <xf numFmtId="164" fontId="22" fillId="4" borderId="27" xfId="0" applyNumberFormat="1" applyFont="1" applyFill="1" applyBorder="1" applyAlignment="1">
      <alignment horizontal="justify" vertical="center" wrapText="1"/>
    </xf>
    <xf numFmtId="0" fontId="22" fillId="4" borderId="25" xfId="0" applyFont="1" applyFill="1" applyBorder="1" applyAlignment="1">
      <alignment horizontal="right" vertical="center" wrapText="1"/>
    </xf>
    <xf numFmtId="164" fontId="22" fillId="4" borderId="26" xfId="0" applyNumberFormat="1" applyFont="1" applyFill="1" applyBorder="1" applyAlignment="1">
      <alignment horizontal="right" vertical="center" wrapText="1"/>
    </xf>
    <xf numFmtId="164" fontId="22" fillId="4" borderId="27" xfId="0" applyNumberFormat="1" applyFont="1" applyFill="1" applyBorder="1" applyAlignment="1">
      <alignment horizontal="right" vertical="center" wrapText="1"/>
    </xf>
    <xf numFmtId="0" fontId="21" fillId="4" borderId="18" xfId="0" applyFont="1" applyFill="1" applyBorder="1" applyAlignment="1">
      <alignment horizontal="center"/>
    </xf>
    <xf numFmtId="0" fontId="21" fillId="4" borderId="18" xfId="0" applyFont="1" applyFill="1" applyBorder="1" applyAlignment="1">
      <alignment horizontal="right" vertical="center" wrapText="1"/>
    </xf>
    <xf numFmtId="1" fontId="21" fillId="4" borderId="18" xfId="0" applyNumberFormat="1" applyFont="1" applyFill="1" applyBorder="1" applyAlignment="1">
      <alignment horizontal="right" vertical="center" wrapText="1"/>
    </xf>
    <xf numFmtId="44" fontId="15" fillId="5" borderId="10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44" fontId="17" fillId="5" borderId="10" xfId="1" applyFont="1" applyFill="1" applyBorder="1" applyAlignment="1">
      <alignment horizontal="right" vertical="center" wrapText="1"/>
    </xf>
    <xf numFmtId="44" fontId="17" fillId="2" borderId="10" xfId="1" applyFont="1" applyFill="1" applyBorder="1" applyAlignment="1">
      <alignment horizontal="right" vertical="center" wrapText="1"/>
    </xf>
    <xf numFmtId="164" fontId="15" fillId="0" borderId="10" xfId="0" applyNumberFormat="1" applyFont="1" applyFill="1" applyBorder="1" applyAlignment="1">
      <alignment horizontal="right" vertical="center" wrapText="1"/>
    </xf>
    <xf numFmtId="167" fontId="12" fillId="2" borderId="0" xfId="0" applyNumberFormat="1" applyFont="1" applyFill="1" applyBorder="1"/>
    <xf numFmtId="0" fontId="11" fillId="4" borderId="15" xfId="0" applyFont="1" applyFill="1" applyBorder="1" applyAlignment="1">
      <alignment horizontal="left" vertical="center"/>
    </xf>
    <xf numFmtId="0" fontId="1" fillId="0" borderId="2" xfId="2" applyFont="1" applyBorder="1" applyAlignment="1">
      <alignment horizontal="left" vertical="center" wrapText="1"/>
    </xf>
    <xf numFmtId="0" fontId="22" fillId="4" borderId="26" xfId="0" applyFont="1" applyFill="1" applyBorder="1" applyAlignment="1">
      <alignment horizontal="justify" vertical="center" wrapText="1"/>
    </xf>
    <xf numFmtId="0" fontId="22" fillId="4" borderId="22" xfId="0" applyFont="1" applyFill="1" applyBorder="1" applyAlignment="1">
      <alignment horizontal="justify" vertical="center" wrapText="1"/>
    </xf>
    <xf numFmtId="164" fontId="17" fillId="5" borderId="11" xfId="0" applyNumberFormat="1" applyFont="1" applyFill="1" applyBorder="1" applyAlignment="1">
      <alignment horizontal="right" vertical="center" wrapText="1"/>
    </xf>
    <xf numFmtId="164" fontId="15" fillId="0" borderId="11" xfId="0" applyNumberFormat="1" applyFont="1" applyFill="1" applyBorder="1" applyAlignment="1">
      <alignment horizontal="right" vertical="center" wrapText="1"/>
    </xf>
    <xf numFmtId="164" fontId="15" fillId="0" borderId="23" xfId="0" applyNumberFormat="1" applyFont="1" applyFill="1" applyBorder="1" applyAlignment="1">
      <alignment horizontal="right" vertical="center" wrapText="1"/>
    </xf>
    <xf numFmtId="164" fontId="21" fillId="4" borderId="22" xfId="0" applyNumberFormat="1" applyFont="1" applyFill="1" applyBorder="1" applyAlignment="1">
      <alignment horizontal="right" vertical="center" wrapText="1"/>
    </xf>
    <xf numFmtId="0" fontId="22" fillId="4" borderId="26" xfId="0" applyFont="1" applyFill="1" applyBorder="1" applyAlignment="1">
      <alignment horizontal="right" vertical="center" wrapText="1"/>
    </xf>
    <xf numFmtId="0" fontId="11" fillId="4" borderId="23" xfId="0" applyFont="1" applyFill="1" applyBorder="1" applyAlignment="1">
      <alignment horizontal="left" vertical="center"/>
    </xf>
    <xf numFmtId="44" fontId="17" fillId="2" borderId="15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10" fontId="17" fillId="5" borderId="11" xfId="8" applyNumberFormat="1" applyFont="1" applyFill="1" applyBorder="1" applyAlignment="1">
      <alignment horizontal="right" vertical="center" wrapText="1"/>
    </xf>
    <xf numFmtId="10" fontId="15" fillId="0" borderId="11" xfId="8" applyNumberFormat="1" applyFont="1" applyFill="1" applyBorder="1" applyAlignment="1">
      <alignment horizontal="right" vertical="center" wrapText="1"/>
    </xf>
    <xf numFmtId="10" fontId="15" fillId="0" borderId="23" xfId="8" applyNumberFormat="1" applyFont="1" applyFill="1" applyBorder="1" applyAlignment="1">
      <alignment horizontal="right" vertical="center" wrapText="1"/>
    </xf>
    <xf numFmtId="10" fontId="22" fillId="4" borderId="26" xfId="8" applyNumberFormat="1" applyFont="1" applyFill="1" applyBorder="1" applyAlignment="1">
      <alignment horizontal="right" vertical="center" wrapText="1"/>
    </xf>
    <xf numFmtId="164" fontId="11" fillId="4" borderId="23" xfId="8" applyNumberFormat="1" applyFont="1" applyFill="1" applyBorder="1" applyAlignment="1">
      <alignment horizontal="left" vertical="center"/>
    </xf>
    <xf numFmtId="44" fontId="7" fillId="2" borderId="4" xfId="0" applyNumberFormat="1" applyFont="1" applyFill="1" applyBorder="1" applyAlignment="1">
      <alignment horizontal="left"/>
    </xf>
    <xf numFmtId="44" fontId="6" fillId="6" borderId="23" xfId="1" applyFont="1" applyFill="1" applyBorder="1" applyAlignment="1">
      <alignment horizontal="left" vertical="center"/>
    </xf>
    <xf numFmtId="0" fontId="11" fillId="6" borderId="35" xfId="0" applyFont="1" applyFill="1" applyBorder="1" applyAlignment="1">
      <alignment horizontal="left" vertical="center"/>
    </xf>
    <xf numFmtId="0" fontId="11" fillId="6" borderId="36" xfId="0" applyFont="1" applyFill="1" applyBorder="1" applyAlignment="1">
      <alignment horizontal="left" vertical="center"/>
    </xf>
    <xf numFmtId="44" fontId="11" fillId="6" borderId="15" xfId="1" applyFont="1" applyFill="1" applyBorder="1" applyAlignment="1">
      <alignment horizontal="left" vertical="center"/>
    </xf>
    <xf numFmtId="164" fontId="15" fillId="5" borderId="18" xfId="0" applyNumberFormat="1" applyFont="1" applyFill="1" applyBorder="1" applyAlignment="1">
      <alignment horizontal="left"/>
    </xf>
    <xf numFmtId="0" fontId="15" fillId="5" borderId="18" xfId="0" applyFont="1" applyFill="1" applyBorder="1" applyAlignment="1">
      <alignment horizontal="left"/>
    </xf>
    <xf numFmtId="10" fontId="15" fillId="5" borderId="22" xfId="8" applyNumberFormat="1" applyFont="1" applyFill="1" applyBorder="1" applyAlignment="1">
      <alignment horizontal="right"/>
    </xf>
    <xf numFmtId="0" fontId="15" fillId="5" borderId="22" xfId="0" applyFont="1" applyFill="1" applyBorder="1" applyAlignment="1">
      <alignment horizontal="left"/>
    </xf>
    <xf numFmtId="164" fontId="15" fillId="5" borderId="22" xfId="0" applyNumberFormat="1" applyFont="1" applyFill="1" applyBorder="1" applyAlignment="1">
      <alignment horizontal="left"/>
    </xf>
    <xf numFmtId="164" fontId="15" fillId="5" borderId="19" xfId="0" applyNumberFormat="1" applyFont="1" applyFill="1" applyBorder="1"/>
    <xf numFmtId="164" fontId="15" fillId="5" borderId="10" xfId="0" applyNumberFormat="1" applyFont="1" applyFill="1" applyBorder="1" applyAlignment="1">
      <alignment horizontal="left"/>
    </xf>
    <xf numFmtId="0" fontId="15" fillId="5" borderId="10" xfId="0" applyFont="1" applyFill="1" applyBorder="1" applyAlignment="1">
      <alignment horizontal="left"/>
    </xf>
    <xf numFmtId="10" fontId="15" fillId="5" borderId="11" xfId="8" applyNumberFormat="1" applyFont="1" applyFill="1" applyBorder="1" applyAlignment="1">
      <alignment horizontal="right"/>
    </xf>
    <xf numFmtId="0" fontId="15" fillId="5" borderId="11" xfId="0" applyFont="1" applyFill="1" applyBorder="1" applyAlignment="1">
      <alignment horizontal="left"/>
    </xf>
    <xf numFmtId="164" fontId="15" fillId="5" borderId="12" xfId="0" applyNumberFormat="1" applyFont="1" applyFill="1" applyBorder="1"/>
    <xf numFmtId="10" fontId="15" fillId="5" borderId="11" xfId="8" applyNumberFormat="1" applyFont="1" applyFill="1" applyBorder="1" applyAlignment="1">
      <alignment horizontal="left"/>
    </xf>
    <xf numFmtId="164" fontId="15" fillId="5" borderId="11" xfId="0" applyNumberFormat="1" applyFont="1" applyFill="1" applyBorder="1" applyAlignment="1">
      <alignment horizontal="left"/>
    </xf>
    <xf numFmtId="0" fontId="15" fillId="4" borderId="30" xfId="0" applyFont="1" applyFill="1" applyBorder="1" applyAlignment="1">
      <alignment horizontal="left"/>
    </xf>
    <xf numFmtId="0" fontId="15" fillId="4" borderId="31" xfId="0" applyFont="1" applyFill="1" applyBorder="1" applyAlignment="1">
      <alignment horizontal="left"/>
    </xf>
    <xf numFmtId="44" fontId="15" fillId="4" borderId="18" xfId="1" applyFont="1" applyFill="1" applyBorder="1" applyAlignment="1">
      <alignment horizontal="left"/>
    </xf>
    <xf numFmtId="44" fontId="7" fillId="4" borderId="22" xfId="1" applyFont="1" applyFill="1" applyBorder="1" applyAlignment="1">
      <alignment horizontal="left"/>
    </xf>
    <xf numFmtId="10" fontId="7" fillId="4" borderId="22" xfId="0" applyNumberFormat="1" applyFont="1" applyFill="1" applyBorder="1" applyAlignment="1">
      <alignment horizontal="left"/>
    </xf>
    <xf numFmtId="44" fontId="7" fillId="4" borderId="19" xfId="1" applyFont="1" applyFill="1" applyBorder="1"/>
    <xf numFmtId="0" fontId="15" fillId="4" borderId="32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left"/>
    </xf>
    <xf numFmtId="44" fontId="15" fillId="4" borderId="10" xfId="1" applyFont="1" applyFill="1" applyBorder="1" applyAlignment="1">
      <alignment horizontal="left"/>
    </xf>
    <xf numFmtId="44" fontId="7" fillId="4" borderId="11" xfId="1" applyFont="1" applyFill="1" applyBorder="1" applyAlignment="1">
      <alignment horizontal="left"/>
    </xf>
    <xf numFmtId="10" fontId="7" fillId="4" borderId="11" xfId="0" applyNumberFormat="1" applyFont="1" applyFill="1" applyBorder="1" applyAlignment="1">
      <alignment horizontal="left"/>
    </xf>
    <xf numFmtId="44" fontId="7" fillId="4" borderId="12" xfId="1" applyFont="1" applyFill="1" applyBorder="1"/>
    <xf numFmtId="44" fontId="0" fillId="0" borderId="0" xfId="0" applyNumberFormat="1"/>
    <xf numFmtId="164" fontId="12" fillId="2" borderId="0" xfId="0" applyNumberFormat="1" applyFont="1" applyFill="1" applyBorder="1" applyAlignment="1">
      <alignment horizontal="center"/>
    </xf>
    <xf numFmtId="0" fontId="15" fillId="5" borderId="34" xfId="0" applyFont="1" applyFill="1" applyBorder="1" applyAlignment="1">
      <alignment horizontal="left"/>
    </xf>
    <xf numFmtId="0" fontId="11" fillId="4" borderId="37" xfId="0" applyFont="1" applyFill="1" applyBorder="1" applyAlignment="1">
      <alignment horizontal="left" vertical="center"/>
    </xf>
    <xf numFmtId="10" fontId="11" fillId="4" borderId="23" xfId="8" applyNumberFormat="1" applyFont="1" applyFill="1" applyBorder="1" applyAlignment="1">
      <alignment horizontal="right" vertical="center"/>
    </xf>
    <xf numFmtId="0" fontId="15" fillId="4" borderId="38" xfId="0" applyFont="1" applyFill="1" applyBorder="1" applyAlignment="1">
      <alignment horizontal="left"/>
    </xf>
    <xf numFmtId="0" fontId="24" fillId="7" borderId="24" xfId="0" applyFont="1" applyFill="1" applyBorder="1" applyAlignment="1">
      <alignment horizontal="center"/>
    </xf>
    <xf numFmtId="0" fontId="24" fillId="7" borderId="27" xfId="0" applyFont="1" applyFill="1" applyBorder="1" applyAlignment="1">
      <alignment horizontal="center"/>
    </xf>
    <xf numFmtId="0" fontId="25" fillId="8" borderId="13" xfId="0" applyFont="1" applyFill="1" applyBorder="1" applyAlignment="1">
      <alignment horizontal="center"/>
    </xf>
    <xf numFmtId="10" fontId="25" fillId="8" borderId="12" xfId="8" applyNumberFormat="1" applyFont="1" applyFill="1" applyBorder="1" applyAlignment="1">
      <alignment horizontal="center"/>
    </xf>
    <xf numFmtId="0" fontId="27" fillId="0" borderId="0" xfId="0" applyFont="1"/>
    <xf numFmtId="1" fontId="21" fillId="4" borderId="22" xfId="0" applyNumberFormat="1" applyFont="1" applyFill="1" applyBorder="1" applyAlignment="1">
      <alignment horizontal="right" vertical="center" wrapText="1"/>
    </xf>
    <xf numFmtId="0" fontId="15" fillId="5" borderId="42" xfId="0" applyFont="1" applyFill="1" applyBorder="1" applyAlignment="1">
      <alignment horizontal="left"/>
    </xf>
    <xf numFmtId="0" fontId="26" fillId="7" borderId="40" xfId="0" applyFont="1" applyFill="1" applyBorder="1"/>
    <xf numFmtId="0" fontId="26" fillId="7" borderId="41" xfId="0" applyFont="1" applyFill="1" applyBorder="1"/>
    <xf numFmtId="0" fontId="25" fillId="10" borderId="13" xfId="0" applyFont="1" applyFill="1" applyBorder="1" applyAlignment="1">
      <alignment horizontal="center"/>
    </xf>
    <xf numFmtId="10" fontId="25" fillId="10" borderId="12" xfId="8" applyNumberFormat="1" applyFont="1" applyFill="1" applyBorder="1" applyAlignment="1">
      <alignment horizontal="center"/>
    </xf>
    <xf numFmtId="0" fontId="28" fillId="9" borderId="44" xfId="0" applyFont="1" applyFill="1" applyBorder="1" applyAlignment="1">
      <alignment horizontal="center"/>
    </xf>
    <xf numFmtId="10" fontId="28" fillId="9" borderId="45" xfId="8" applyNumberFormat="1" applyFont="1" applyFill="1" applyBorder="1" applyAlignment="1">
      <alignment horizontal="center"/>
    </xf>
    <xf numFmtId="44" fontId="9" fillId="2" borderId="4" xfId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vertical="center" wrapText="1"/>
    </xf>
    <xf numFmtId="10" fontId="9" fillId="2" borderId="4" xfId="8" applyNumberFormat="1" applyFont="1" applyFill="1" applyBorder="1" applyAlignment="1">
      <alignment horizontal="left" vertical="center" wrapText="1"/>
    </xf>
    <xf numFmtId="0" fontId="26" fillId="7" borderId="39" xfId="0" applyFont="1" applyFill="1" applyBorder="1" applyAlignment="1">
      <alignment vertical="center"/>
    </xf>
    <xf numFmtId="0" fontId="15" fillId="5" borderId="18" xfId="0" applyFont="1" applyFill="1" applyBorder="1" applyAlignment="1">
      <alignment horizontal="justify" vertical="center" wrapText="1"/>
    </xf>
    <xf numFmtId="0" fontId="15" fillId="5" borderId="18" xfId="0" applyFont="1" applyFill="1" applyBorder="1" applyAlignment="1">
      <alignment horizontal="right" vertical="center" wrapText="1"/>
    </xf>
    <xf numFmtId="44" fontId="17" fillId="5" borderId="18" xfId="1" applyFont="1" applyFill="1" applyBorder="1" applyAlignment="1">
      <alignment horizontal="right" vertical="center" wrapText="1"/>
    </xf>
    <xf numFmtId="164" fontId="17" fillId="5" borderId="22" xfId="0" applyNumberFormat="1" applyFont="1" applyFill="1" applyBorder="1" applyAlignment="1">
      <alignment horizontal="right" vertical="center" wrapText="1"/>
    </xf>
    <xf numFmtId="164" fontId="15" fillId="5" borderId="19" xfId="0" applyNumberFormat="1" applyFont="1" applyFill="1" applyBorder="1" applyAlignment="1">
      <alignment horizontal="right" vertical="center" wrapText="1"/>
    </xf>
    <xf numFmtId="0" fontId="26" fillId="7" borderId="43" xfId="0" applyFont="1" applyFill="1" applyBorder="1" applyAlignment="1">
      <alignment vertical="center"/>
    </xf>
    <xf numFmtId="44" fontId="22" fillId="4" borderId="18" xfId="1" applyFont="1" applyFill="1" applyBorder="1" applyAlignment="1">
      <alignment horizontal="justify" vertical="center" wrapText="1"/>
    </xf>
    <xf numFmtId="44" fontId="21" fillId="4" borderId="18" xfId="1" applyFont="1" applyFill="1" applyBorder="1" applyAlignment="1">
      <alignment horizontal="right" vertical="center" wrapText="1"/>
    </xf>
    <xf numFmtId="44" fontId="22" fillId="4" borderId="25" xfId="1" applyFont="1" applyFill="1" applyBorder="1" applyAlignment="1">
      <alignment horizontal="right" vertical="center" wrapText="1"/>
    </xf>
    <xf numFmtId="44" fontId="15" fillId="5" borderId="18" xfId="1" applyFont="1" applyFill="1" applyBorder="1" applyAlignment="1">
      <alignment horizontal="right" vertical="center" wrapText="1"/>
    </xf>
    <xf numFmtId="0" fontId="17" fillId="2" borderId="10" xfId="0" applyFont="1" applyFill="1" applyBorder="1" applyAlignment="1">
      <alignment horizontal="right" vertical="center"/>
    </xf>
    <xf numFmtId="44" fontId="17" fillId="2" borderId="10" xfId="1" applyFont="1" applyFill="1" applyBorder="1" applyAlignment="1">
      <alignment horizontal="right" vertical="center"/>
    </xf>
    <xf numFmtId="0" fontId="15" fillId="5" borderId="10" xfId="0" applyFont="1" applyFill="1" applyBorder="1" applyAlignment="1">
      <alignment horizontal="center" vertical="center"/>
    </xf>
    <xf numFmtId="44" fontId="27" fillId="9" borderId="42" xfId="1" applyFont="1" applyFill="1" applyBorder="1"/>
    <xf numFmtId="44" fontId="27" fillId="9" borderId="18" xfId="0" applyNumberFormat="1" applyFont="1" applyFill="1" applyBorder="1"/>
    <xf numFmtId="44" fontId="27" fillId="10" borderId="42" xfId="1" applyFont="1" applyFill="1" applyBorder="1"/>
    <xf numFmtId="44" fontId="27" fillId="10" borderId="18" xfId="0" applyNumberFormat="1" applyFont="1" applyFill="1" applyBorder="1"/>
    <xf numFmtId="0" fontId="6" fillId="0" borderId="2" xfId="0" applyFont="1" applyBorder="1" applyAlignment="1">
      <alignment horizontal="left"/>
    </xf>
    <xf numFmtId="0" fontId="17" fillId="2" borderId="21" xfId="0" applyFont="1" applyFill="1" applyBorder="1" applyAlignment="1">
      <alignment horizontal="left" vertical="center" wrapText="1"/>
    </xf>
    <xf numFmtId="44" fontId="7" fillId="2" borderId="3" xfId="0" applyNumberFormat="1" applyFont="1" applyFill="1" applyBorder="1" applyAlignment="1">
      <alignment horizontal="left"/>
    </xf>
    <xf numFmtId="4" fontId="17" fillId="5" borderId="10" xfId="0" applyNumberFormat="1" applyFont="1" applyFill="1" applyBorder="1" applyAlignment="1">
      <alignment horizontal="right"/>
    </xf>
    <xf numFmtId="4" fontId="17" fillId="2" borderId="10" xfId="0" applyNumberFormat="1" applyFont="1" applyFill="1" applyBorder="1" applyAlignment="1">
      <alignment horizontal="right"/>
    </xf>
    <xf numFmtId="4" fontId="17" fillId="2" borderId="15" xfId="0" applyNumberFormat="1" applyFont="1" applyFill="1" applyBorder="1" applyAlignment="1">
      <alignment horizontal="right"/>
    </xf>
    <xf numFmtId="4" fontId="22" fillId="4" borderId="18" xfId="0" applyNumberFormat="1" applyFont="1" applyFill="1" applyBorder="1" applyAlignment="1">
      <alignment horizontal="justify" vertical="center" wrapText="1"/>
    </xf>
    <xf numFmtId="4" fontId="15" fillId="2" borderId="10" xfId="0" applyNumberFormat="1" applyFont="1" applyFill="1" applyBorder="1" applyAlignment="1">
      <alignment horizontal="right" vertical="center" wrapText="1"/>
    </xf>
    <xf numFmtId="4" fontId="21" fillId="4" borderId="18" xfId="0" applyNumberFormat="1" applyFont="1" applyFill="1" applyBorder="1" applyAlignment="1">
      <alignment horizontal="right" vertical="center" wrapText="1"/>
    </xf>
    <xf numFmtId="4" fontId="15" fillId="5" borderId="1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left"/>
    </xf>
    <xf numFmtId="0" fontId="17" fillId="2" borderId="18" xfId="0" applyNumberFormat="1" applyFont="1" applyFill="1" applyBorder="1" applyAlignment="1">
      <alignment horizontal="center"/>
    </xf>
    <xf numFmtId="0" fontId="27" fillId="10" borderId="42" xfId="0" applyFont="1" applyFill="1" applyBorder="1"/>
    <xf numFmtId="0" fontId="27" fillId="9" borderId="42" xfId="0" applyFont="1" applyFill="1" applyBorder="1"/>
    <xf numFmtId="0" fontId="28" fillId="2" borderId="0" xfId="0" applyFont="1" applyFill="1" applyBorder="1" applyAlignment="1">
      <alignment horizontal="center"/>
    </xf>
    <xf numFmtId="10" fontId="28" fillId="2" borderId="0" xfId="8" applyNumberFormat="1" applyFont="1" applyFill="1" applyBorder="1" applyAlignment="1">
      <alignment horizontal="center"/>
    </xf>
    <xf numFmtId="0" fontId="11" fillId="11" borderId="6" xfId="0" applyFont="1" applyFill="1" applyBorder="1" applyAlignment="1">
      <alignment horizontal="left" vertical="center" indent="15"/>
    </xf>
    <xf numFmtId="0" fontId="11" fillId="11" borderId="5" xfId="0" applyFont="1" applyFill="1" applyBorder="1" applyAlignment="1">
      <alignment horizontal="left" vertical="center" indent="15"/>
    </xf>
    <xf numFmtId="0" fontId="6" fillId="12" borderId="29" xfId="0" applyFont="1" applyFill="1" applyBorder="1" applyAlignment="1">
      <alignment vertical="center"/>
    </xf>
    <xf numFmtId="0" fontId="6" fillId="12" borderId="5" xfId="0" applyFont="1" applyFill="1" applyBorder="1" applyAlignment="1">
      <alignment horizontal="right" vertical="center"/>
    </xf>
    <xf numFmtId="0" fontId="7" fillId="13" borderId="6" xfId="0" applyFont="1" applyFill="1" applyBorder="1" applyAlignment="1">
      <alignment vertical="center"/>
    </xf>
    <xf numFmtId="0" fontId="7" fillId="0" borderId="29" xfId="0" applyFont="1" applyBorder="1" applyAlignment="1">
      <alignment horizontal="right" vertical="center"/>
    </xf>
    <xf numFmtId="0" fontId="7" fillId="14" borderId="6" xfId="0" applyFont="1" applyFill="1" applyBorder="1" applyAlignment="1">
      <alignment vertical="center"/>
    </xf>
    <xf numFmtId="0" fontId="6" fillId="15" borderId="6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16" borderId="6" xfId="0" applyFont="1" applyFill="1" applyBorder="1" applyAlignment="1">
      <alignment vertical="center"/>
    </xf>
    <xf numFmtId="2" fontId="6" fillId="16" borderId="29" xfId="8" applyNumberFormat="1" applyFont="1" applyFill="1" applyBorder="1" applyAlignment="1">
      <alignment horizontal="right" vertical="center"/>
    </xf>
    <xf numFmtId="0" fontId="7" fillId="13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10" fontId="6" fillId="16" borderId="4" xfId="8" applyNumberFormat="1" applyFont="1" applyFill="1" applyBorder="1" applyAlignment="1">
      <alignment horizontal="right" vertical="center"/>
    </xf>
    <xf numFmtId="0" fontId="17" fillId="2" borderId="15" xfId="0" applyFont="1" applyFill="1" applyBorder="1" applyAlignment="1">
      <alignment horizontal="right"/>
    </xf>
    <xf numFmtId="164" fontId="15" fillId="0" borderId="15" xfId="0" applyNumberFormat="1" applyFont="1" applyFill="1" applyBorder="1" applyAlignment="1">
      <alignment horizontal="right" vertical="center" wrapText="1"/>
    </xf>
    <xf numFmtId="0" fontId="17" fillId="5" borderId="21" xfId="0" applyFont="1" applyFill="1" applyBorder="1" applyAlignment="1">
      <alignment horizontal="left" vertical="center" wrapText="1"/>
    </xf>
    <xf numFmtId="0" fontId="17" fillId="5" borderId="21" xfId="0" applyFont="1" applyFill="1" applyBorder="1" applyAlignment="1">
      <alignment horizontal="right" vertical="center"/>
    </xf>
    <xf numFmtId="44" fontId="17" fillId="5" borderId="21" xfId="1" applyFont="1" applyFill="1" applyBorder="1" applyAlignment="1">
      <alignment horizontal="right" vertical="center"/>
    </xf>
    <xf numFmtId="0" fontId="17" fillId="2" borderId="10" xfId="0" applyFont="1" applyFill="1" applyBorder="1" applyAlignment="1">
      <alignment horizontal="center" vertical="center"/>
    </xf>
    <xf numFmtId="164" fontId="15" fillId="0" borderId="10" xfId="0" applyNumberFormat="1" applyFont="1" applyBorder="1" applyAlignment="1">
      <alignment horizontal="right" vertical="center" wrapText="1"/>
    </xf>
    <xf numFmtId="164" fontId="15" fillId="0" borderId="11" xfId="0" applyNumberFormat="1" applyFont="1" applyBorder="1" applyAlignment="1">
      <alignment horizontal="right" vertical="center" wrapText="1"/>
    </xf>
    <xf numFmtId="0" fontId="17" fillId="2" borderId="21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justify" vertical="center" wrapText="1"/>
    </xf>
    <xf numFmtId="0" fontId="15" fillId="2" borderId="15" xfId="0" applyFont="1" applyFill="1" applyBorder="1" applyAlignment="1">
      <alignment horizontal="right" vertical="center" wrapText="1"/>
    </xf>
    <xf numFmtId="164" fontId="15" fillId="0" borderId="15" xfId="0" applyNumberFormat="1" applyFont="1" applyBorder="1" applyAlignment="1">
      <alignment horizontal="right" vertical="center" wrapText="1"/>
    </xf>
    <xf numFmtId="164" fontId="15" fillId="0" borderId="23" xfId="0" applyNumberFormat="1" applyFont="1" applyBorder="1" applyAlignment="1">
      <alignment horizontal="right" vertical="center" wrapText="1"/>
    </xf>
    <xf numFmtId="0" fontId="15" fillId="2" borderId="10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0" fontId="25" fillId="2" borderId="0" xfId="8" applyNumberFormat="1" applyFont="1" applyFill="1" applyBorder="1" applyAlignment="1">
      <alignment horizontal="center"/>
    </xf>
    <xf numFmtId="0" fontId="14" fillId="0" borderId="7" xfId="2" applyFont="1" applyBorder="1" applyAlignment="1">
      <alignment horizontal="left" vertical="center" wrapText="1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0" xfId="0" applyBorder="1" applyAlignment="1">
      <alignment horizontal="left"/>
    </xf>
    <xf numFmtId="44" fontId="6" fillId="16" borderId="4" xfId="1" applyFont="1" applyFill="1" applyBorder="1" applyAlignment="1">
      <alignment horizontal="right" vertical="center"/>
    </xf>
    <xf numFmtId="0" fontId="18" fillId="0" borderId="4" xfId="2" applyFont="1" applyBorder="1" applyAlignment="1">
      <alignment horizontal="left" vertical="center" wrapText="1"/>
    </xf>
    <xf numFmtId="168" fontId="7" fillId="0" borderId="29" xfId="0" applyNumberFormat="1" applyFont="1" applyBorder="1" applyAlignment="1">
      <alignment horizontal="right" vertical="center"/>
    </xf>
    <xf numFmtId="10" fontId="14" fillId="0" borderId="4" xfId="8" applyNumberFormat="1" applyFont="1" applyBorder="1" applyAlignment="1">
      <alignment horizontal="left" vertical="center" wrapText="1"/>
    </xf>
    <xf numFmtId="10" fontId="17" fillId="2" borderId="10" xfId="1" applyNumberFormat="1" applyFont="1" applyFill="1" applyBorder="1" applyAlignment="1">
      <alignment horizontal="right" vertical="center" wrapText="1"/>
    </xf>
    <xf numFmtId="10" fontId="7" fillId="0" borderId="1" xfId="0" applyNumberFormat="1" applyFont="1" applyBorder="1" applyAlignment="1">
      <alignment horizontal="left"/>
    </xf>
    <xf numFmtId="0" fontId="17" fillId="5" borderId="10" xfId="0" applyFont="1" applyFill="1" applyBorder="1" applyAlignment="1">
      <alignment horizontal="right" vertical="center" wrapText="1"/>
    </xf>
    <xf numFmtId="0" fontId="15" fillId="0" borderId="10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right" vertical="center" wrapText="1"/>
    </xf>
    <xf numFmtId="0" fontId="17" fillId="5" borderId="10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left" vertical="center" wrapText="1"/>
    </xf>
    <xf numFmtId="0" fontId="17" fillId="5" borderId="21" xfId="0" applyFont="1" applyFill="1" applyBorder="1" applyAlignment="1">
      <alignment horizontal="center" vertical="center"/>
    </xf>
    <xf numFmtId="0" fontId="17" fillId="5" borderId="49" xfId="0" applyFont="1" applyFill="1" applyBorder="1" applyAlignment="1">
      <alignment horizontal="center" vertical="center"/>
    </xf>
    <xf numFmtId="0" fontId="17" fillId="2" borderId="10" xfId="3" applyFont="1" applyFill="1" applyBorder="1" applyAlignment="1">
      <alignment vertical="center" wrapText="1"/>
    </xf>
    <xf numFmtId="0" fontId="22" fillId="4" borderId="24" xfId="0" applyFont="1" applyFill="1" applyBorder="1" applyAlignment="1">
      <alignment horizontal="left"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right" vertical="center" wrapText="1"/>
    </xf>
    <xf numFmtId="44" fontId="22" fillId="4" borderId="18" xfId="1" applyFont="1" applyFill="1" applyBorder="1" applyAlignment="1">
      <alignment horizontal="right" vertical="center" wrapText="1"/>
    </xf>
    <xf numFmtId="0" fontId="22" fillId="4" borderId="22" xfId="0" applyFont="1" applyFill="1" applyBorder="1" applyAlignment="1">
      <alignment horizontal="right" vertical="center" wrapText="1"/>
    </xf>
    <xf numFmtId="10" fontId="22" fillId="4" borderId="22" xfId="8" applyNumberFormat="1" applyFont="1" applyFill="1" applyBorder="1" applyAlignment="1">
      <alignment horizontal="right" vertical="center" wrapText="1"/>
    </xf>
    <xf numFmtId="44" fontId="15" fillId="2" borderId="11" xfId="1" applyFont="1" applyFill="1" applyBorder="1" applyAlignment="1">
      <alignment horizontal="right" vertical="center" wrapText="1"/>
    </xf>
    <xf numFmtId="10" fontId="15" fillId="2" borderId="11" xfId="8" applyNumberFormat="1" applyFont="1" applyFill="1" applyBorder="1" applyAlignment="1">
      <alignment horizontal="right" vertical="center" wrapText="1"/>
    </xf>
    <xf numFmtId="0" fontId="15" fillId="2" borderId="11" xfId="0" applyFont="1" applyFill="1" applyBorder="1" applyAlignment="1">
      <alignment horizontal="right" vertical="center" wrapText="1"/>
    </xf>
    <xf numFmtId="10" fontId="17" fillId="5" borderId="22" xfId="8" applyNumberFormat="1" applyFont="1" applyFill="1" applyBorder="1" applyAlignment="1">
      <alignment horizontal="right" vertical="center" wrapText="1"/>
    </xf>
    <xf numFmtId="0" fontId="15" fillId="0" borderId="10" xfId="0" applyNumberFormat="1" applyFont="1" applyBorder="1" applyAlignment="1">
      <alignment horizontal="center" vertical="center"/>
    </xf>
    <xf numFmtId="0" fontId="15" fillId="5" borderId="10" xfId="0" applyNumberFormat="1" applyFont="1" applyFill="1" applyBorder="1" applyAlignment="1">
      <alignment horizontal="center" vertical="center"/>
    </xf>
    <xf numFmtId="0" fontId="20" fillId="4" borderId="18" xfId="3" applyFont="1" applyFill="1" applyBorder="1" applyAlignment="1">
      <alignment vertical="center" wrapText="1"/>
    </xf>
    <xf numFmtId="10" fontId="14" fillId="0" borderId="7" xfId="8" applyNumberFormat="1" applyFont="1" applyBorder="1" applyAlignment="1">
      <alignment horizontal="left" vertical="center" wrapText="1"/>
    </xf>
    <xf numFmtId="44" fontId="7" fillId="2" borderId="5" xfId="1" applyFont="1" applyFill="1" applyBorder="1" applyAlignment="1">
      <alignment horizontal="left"/>
    </xf>
    <xf numFmtId="10" fontId="7" fillId="0" borderId="4" xfId="8" applyNumberFormat="1" applyFont="1" applyBorder="1" applyAlignment="1">
      <alignment horizontal="left"/>
    </xf>
    <xf numFmtId="4" fontId="22" fillId="4" borderId="18" xfId="0" applyNumberFormat="1" applyFont="1" applyFill="1" applyBorder="1" applyAlignment="1">
      <alignment horizontal="right" vertical="center" wrapText="1"/>
    </xf>
    <xf numFmtId="4" fontId="15" fillId="2" borderId="15" xfId="0" applyNumberFormat="1" applyFont="1" applyFill="1" applyBorder="1" applyAlignment="1">
      <alignment horizontal="right" vertical="center" wrapText="1"/>
    </xf>
    <xf numFmtId="10" fontId="34" fillId="10" borderId="18" xfId="8" applyNumberFormat="1" applyFont="1" applyFill="1" applyBorder="1"/>
    <xf numFmtId="10" fontId="34" fillId="10" borderId="10" xfId="0" applyNumberFormat="1" applyFont="1" applyFill="1" applyBorder="1"/>
    <xf numFmtId="0" fontId="34" fillId="10" borderId="12" xfId="0" applyFont="1" applyFill="1" applyBorder="1" applyAlignment="1">
      <alignment horizontal="center"/>
    </xf>
    <xf numFmtId="0" fontId="34" fillId="10" borderId="42" xfId="0" applyFont="1" applyFill="1" applyBorder="1"/>
    <xf numFmtId="44" fontId="34" fillId="10" borderId="42" xfId="1" applyFont="1" applyFill="1" applyBorder="1"/>
    <xf numFmtId="44" fontId="34" fillId="10" borderId="18" xfId="0" applyNumberFormat="1" applyFont="1" applyFill="1" applyBorder="1"/>
    <xf numFmtId="10" fontId="34" fillId="9" borderId="18" xfId="8" applyNumberFormat="1" applyFont="1" applyFill="1" applyBorder="1"/>
    <xf numFmtId="10" fontId="34" fillId="9" borderId="10" xfId="0" applyNumberFormat="1" applyFont="1" applyFill="1" applyBorder="1"/>
    <xf numFmtId="0" fontId="34" fillId="9" borderId="12" xfId="0" applyFont="1" applyFill="1" applyBorder="1" applyAlignment="1">
      <alignment horizontal="center"/>
    </xf>
    <xf numFmtId="0" fontId="34" fillId="9" borderId="42" xfId="0" applyFont="1" applyFill="1" applyBorder="1"/>
    <xf numFmtId="44" fontId="34" fillId="9" borderId="42" xfId="1" applyFont="1" applyFill="1" applyBorder="1"/>
    <xf numFmtId="44" fontId="34" fillId="9" borderId="18" xfId="0" applyNumberFormat="1" applyFont="1" applyFill="1" applyBorder="1"/>
    <xf numFmtId="2" fontId="10" fillId="4" borderId="5" xfId="0" applyNumberFormat="1" applyFont="1" applyFill="1" applyBorder="1" applyAlignment="1">
      <alignment horizontal="right" vertical="center" wrapText="1"/>
    </xf>
    <xf numFmtId="0" fontId="27" fillId="9" borderId="17" xfId="0" applyFont="1" applyFill="1" applyBorder="1"/>
    <xf numFmtId="0" fontId="27" fillId="10" borderId="17" xfId="0" applyFont="1" applyFill="1" applyBorder="1"/>
    <xf numFmtId="0" fontId="34" fillId="9" borderId="17" xfId="0" applyFont="1" applyFill="1" applyBorder="1"/>
    <xf numFmtId="10" fontId="34" fillId="9" borderId="15" xfId="0" applyNumberFormat="1" applyFont="1" applyFill="1" applyBorder="1"/>
    <xf numFmtId="0" fontId="34" fillId="9" borderId="16" xfId="0" applyFont="1" applyFill="1" applyBorder="1" applyAlignment="1">
      <alignment horizontal="center"/>
    </xf>
    <xf numFmtId="0" fontId="15" fillId="2" borderId="21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14" fillId="0" borderId="7" xfId="2" applyFont="1" applyBorder="1" applyAlignment="1">
      <alignment horizontal="left" vertical="center" wrapText="1"/>
    </xf>
    <xf numFmtId="0" fontId="22" fillId="4" borderId="25" xfId="0" applyFont="1" applyFill="1" applyBorder="1" applyAlignment="1">
      <alignment horizontal="left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0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22" fillId="4" borderId="17" xfId="0" applyFont="1" applyFill="1" applyBorder="1" applyAlignment="1">
      <alignment horizontal="left" vertical="center"/>
    </xf>
    <xf numFmtId="0" fontId="22" fillId="4" borderId="18" xfId="0" applyFont="1" applyFill="1" applyBorder="1" applyAlignment="1">
      <alignment horizontal="left" vertical="center"/>
    </xf>
    <xf numFmtId="0" fontId="21" fillId="4" borderId="18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5" fillId="5" borderId="21" xfId="0" applyFont="1" applyFill="1" applyBorder="1" applyAlignment="1">
      <alignment horizontal="left" vertical="center"/>
    </xf>
    <xf numFmtId="0" fontId="17" fillId="5" borderId="13" xfId="0" applyFont="1" applyFill="1" applyBorder="1" applyAlignment="1">
      <alignment horizontal="left" vertical="center"/>
    </xf>
    <xf numFmtId="0" fontId="15" fillId="5" borderId="49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left" vertical="center"/>
    </xf>
    <xf numFmtId="0" fontId="15" fillId="5" borderId="20" xfId="0" applyFont="1" applyFill="1" applyBorder="1" applyAlignment="1">
      <alignment horizontal="left" vertical="center"/>
    </xf>
    <xf numFmtId="0" fontId="15" fillId="5" borderId="18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7" fillId="2" borderId="15" xfId="0" applyNumberFormat="1" applyFont="1" applyFill="1" applyBorder="1" applyAlignment="1">
      <alignment horizontal="center"/>
    </xf>
    <xf numFmtId="0" fontId="17" fillId="2" borderId="15" xfId="0" applyFont="1" applyFill="1" applyBorder="1" applyAlignment="1">
      <alignment horizontal="left"/>
    </xf>
    <xf numFmtId="0" fontId="15" fillId="2" borderId="15" xfId="0" applyFont="1" applyFill="1" applyBorder="1" applyAlignment="1">
      <alignment horizontal="left"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0" fontId="34" fillId="10" borderId="17" xfId="0" applyFont="1" applyFill="1" applyBorder="1"/>
    <xf numFmtId="10" fontId="34" fillId="9" borderId="10" xfId="8" applyNumberFormat="1" applyFont="1" applyFill="1" applyBorder="1"/>
    <xf numFmtId="10" fontId="34" fillId="9" borderId="18" xfId="0" applyNumberFormat="1" applyFont="1" applyFill="1" applyBorder="1"/>
    <xf numFmtId="0" fontId="34" fillId="9" borderId="19" xfId="0" applyFont="1" applyFill="1" applyBorder="1" applyAlignment="1">
      <alignment horizontal="center"/>
    </xf>
    <xf numFmtId="0" fontId="29" fillId="7" borderId="44" xfId="0" applyFont="1" applyFill="1" applyBorder="1"/>
    <xf numFmtId="0" fontId="29" fillId="7" borderId="50" xfId="0" applyFont="1" applyFill="1" applyBorder="1"/>
    <xf numFmtId="44" fontId="29" fillId="7" borderId="50" xfId="0" applyNumberFormat="1" applyFont="1" applyFill="1" applyBorder="1"/>
    <xf numFmtId="10" fontId="29" fillId="7" borderId="45" xfId="0" applyNumberFormat="1" applyFont="1" applyFill="1" applyBorder="1"/>
    <xf numFmtId="10" fontId="34" fillId="9" borderId="50" xfId="8" applyNumberFormat="1" applyFont="1" applyFill="1" applyBorder="1"/>
    <xf numFmtId="0" fontId="26" fillId="2" borderId="0" xfId="0" applyFont="1" applyFill="1" applyBorder="1" applyAlignment="1">
      <alignment horizontal="center" vertical="top" wrapText="1"/>
    </xf>
    <xf numFmtId="0" fontId="27" fillId="2" borderId="0" xfId="0" applyFont="1" applyFill="1" applyBorder="1"/>
    <xf numFmtId="4" fontId="22" fillId="4" borderId="25" xfId="0" applyNumberFormat="1" applyFont="1" applyFill="1" applyBorder="1" applyAlignment="1">
      <alignment horizontal="justify" vertical="center" wrapText="1"/>
    </xf>
    <xf numFmtId="4" fontId="17" fillId="5" borderId="10" xfId="0" applyNumberFormat="1" applyFont="1" applyFill="1" applyBorder="1" applyAlignment="1">
      <alignment horizontal="right" vertical="center" wrapText="1"/>
    </xf>
    <xf numFmtId="4" fontId="17" fillId="2" borderId="10" xfId="0" applyNumberFormat="1" applyFont="1" applyFill="1" applyBorder="1" applyAlignment="1">
      <alignment horizontal="right" vertical="center" wrapText="1"/>
    </xf>
    <xf numFmtId="4" fontId="22" fillId="4" borderId="25" xfId="0" applyNumberFormat="1" applyFont="1" applyFill="1" applyBorder="1" applyAlignment="1">
      <alignment horizontal="right" vertical="center" wrapText="1"/>
    </xf>
    <xf numFmtId="4" fontId="15" fillId="2" borderId="11" xfId="0" applyNumberFormat="1" applyFont="1" applyFill="1" applyBorder="1" applyAlignment="1">
      <alignment horizontal="right" vertical="center" wrapText="1"/>
    </xf>
    <xf numFmtId="4" fontId="15" fillId="5" borderId="18" xfId="0" applyNumberFormat="1" applyFont="1" applyFill="1" applyBorder="1" applyAlignment="1">
      <alignment horizontal="right" vertical="center" wrapText="1"/>
    </xf>
    <xf numFmtId="4" fontId="15" fillId="2" borderId="18" xfId="0" applyNumberFormat="1" applyFont="1" applyFill="1" applyBorder="1" applyAlignment="1">
      <alignment horizontal="right" vertical="center" wrapText="1"/>
    </xf>
    <xf numFmtId="4" fontId="17" fillId="5" borderId="21" xfId="0" applyNumberFormat="1" applyFont="1" applyFill="1" applyBorder="1" applyAlignment="1">
      <alignment horizontal="right" vertical="center"/>
    </xf>
    <xf numFmtId="4" fontId="17" fillId="2" borderId="10" xfId="0" applyNumberFormat="1" applyFont="1" applyFill="1" applyBorder="1" applyAlignment="1">
      <alignment horizontal="right" vertical="center"/>
    </xf>
    <xf numFmtId="4" fontId="17" fillId="2" borderId="21" xfId="0" applyNumberFormat="1" applyFont="1" applyFill="1" applyBorder="1" applyAlignment="1">
      <alignment horizontal="right" vertical="center"/>
    </xf>
    <xf numFmtId="44" fontId="6" fillId="6" borderId="16" xfId="1" applyNumberFormat="1" applyFont="1" applyFill="1" applyBorder="1" applyAlignment="1">
      <alignment vertical="center"/>
    </xf>
    <xf numFmtId="16" fontId="15" fillId="5" borderId="17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left" wrapText="1"/>
    </xf>
    <xf numFmtId="2" fontId="7" fillId="2" borderId="4" xfId="0" applyNumberFormat="1" applyFont="1" applyFill="1" applyBorder="1" applyAlignment="1">
      <alignment horizontal="left" vertical="center"/>
    </xf>
    <xf numFmtId="0" fontId="25" fillId="0" borderId="0" xfId="0" applyFont="1"/>
    <xf numFmtId="0" fontId="25" fillId="0" borderId="53" xfId="0" applyFont="1" applyBorder="1"/>
    <xf numFmtId="0" fontId="37" fillId="0" borderId="0" xfId="0" applyFont="1" applyAlignment="1">
      <alignment horizontal="left" vertical="center"/>
    </xf>
    <xf numFmtId="1" fontId="12" fillId="0" borderId="24" xfId="0" applyNumberFormat="1" applyFont="1" applyBorder="1" applyAlignment="1">
      <alignment vertical="top"/>
    </xf>
    <xf numFmtId="1" fontId="12" fillId="0" borderId="13" xfId="0" applyNumberFormat="1" applyFont="1" applyBorder="1" applyAlignment="1">
      <alignment vertical="top"/>
    </xf>
    <xf numFmtId="1" fontId="12" fillId="0" borderId="14" xfId="0" applyNumberFormat="1" applyFont="1" applyBorder="1" applyAlignment="1">
      <alignment vertical="top"/>
    </xf>
    <xf numFmtId="1" fontId="38" fillId="0" borderId="0" xfId="0" applyNumberFormat="1" applyFont="1" applyAlignment="1">
      <alignment horizontal="left" vertical="center"/>
    </xf>
    <xf numFmtId="0" fontId="39" fillId="7" borderId="10" xfId="0" applyFont="1" applyFill="1" applyBorder="1" applyAlignment="1">
      <alignment horizontal="center" vertical="center" wrapText="1"/>
    </xf>
    <xf numFmtId="169" fontId="33" fillId="18" borderId="10" xfId="0" applyNumberFormat="1" applyFont="1" applyFill="1" applyBorder="1" applyAlignment="1">
      <alignment horizontal="center" vertical="center" wrapText="1"/>
    </xf>
    <xf numFmtId="44" fontId="37" fillId="18" borderId="10" xfId="1" applyFont="1" applyFill="1" applyBorder="1" applyAlignment="1">
      <alignment horizontal="center" vertical="center" wrapText="1"/>
    </xf>
    <xf numFmtId="9" fontId="40" fillId="0" borderId="10" xfId="0" applyNumberFormat="1" applyFont="1" applyBorder="1" applyAlignment="1">
      <alignment horizontal="center" vertical="center" wrapText="1"/>
    </xf>
    <xf numFmtId="10" fontId="40" fillId="0" borderId="10" xfId="0" applyNumberFormat="1" applyFont="1" applyBorder="1" applyAlignment="1">
      <alignment horizontal="center" vertical="center"/>
    </xf>
    <xf numFmtId="10" fontId="41" fillId="0" borderId="0" xfId="0" applyNumberFormat="1" applyFont="1"/>
    <xf numFmtId="0" fontId="41" fillId="0" borderId="0" xfId="0" applyFont="1"/>
    <xf numFmtId="9" fontId="33" fillId="0" borderId="10" xfId="0" applyNumberFormat="1" applyFont="1" applyBorder="1" applyAlignment="1">
      <alignment horizontal="center" vertical="center" wrapText="1"/>
    </xf>
    <xf numFmtId="169" fontId="41" fillId="0" borderId="0" xfId="0" applyNumberFormat="1" applyFont="1"/>
    <xf numFmtId="44" fontId="37" fillId="18" borderId="10" xfId="0" applyNumberFormat="1" applyFont="1" applyFill="1" applyBorder="1" applyAlignment="1">
      <alignment horizontal="center" vertical="center" wrapText="1"/>
    </xf>
    <xf numFmtId="44" fontId="41" fillId="0" borderId="0" xfId="0" applyNumberFormat="1" applyFont="1"/>
    <xf numFmtId="0" fontId="25" fillId="0" borderId="56" xfId="0" applyFont="1" applyBorder="1"/>
    <xf numFmtId="0" fontId="22" fillId="0" borderId="0" xfId="0" applyFont="1"/>
    <xf numFmtId="0" fontId="21" fillId="0" borderId="0" xfId="0" applyFont="1"/>
    <xf numFmtId="169" fontId="21" fillId="0" borderId="0" xfId="0" applyNumberFormat="1" applyFont="1"/>
    <xf numFmtId="0" fontId="21" fillId="0" borderId="0" xfId="0" applyFont="1" applyAlignment="1">
      <alignment horizontal="left"/>
    </xf>
    <xf numFmtId="169" fontId="22" fillId="0" borderId="0" xfId="0" applyNumberFormat="1" applyFont="1" applyAlignment="1">
      <alignment horizontal="left"/>
    </xf>
    <xf numFmtId="10" fontId="21" fillId="0" borderId="0" xfId="0" applyNumberFormat="1" applyFont="1"/>
    <xf numFmtId="169" fontId="21" fillId="0" borderId="0" xfId="0" applyNumberFormat="1" applyFont="1" applyAlignment="1">
      <alignment horizontal="left"/>
    </xf>
    <xf numFmtId="0" fontId="34" fillId="9" borderId="13" xfId="0" applyFont="1" applyFill="1" applyBorder="1"/>
    <xf numFmtId="0" fontId="34" fillId="9" borderId="34" xfId="0" applyFont="1" applyFill="1" applyBorder="1"/>
    <xf numFmtId="44" fontId="34" fillId="9" borderId="34" xfId="1" applyFont="1" applyFill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44" fontId="7" fillId="2" borderId="4" xfId="1" applyFont="1" applyFill="1" applyBorder="1" applyAlignment="1">
      <alignment horizontal="left" vertical="center"/>
    </xf>
    <xf numFmtId="44" fontId="7" fillId="2" borderId="4" xfId="0" applyNumberFormat="1" applyFont="1" applyFill="1" applyBorder="1" applyAlignment="1">
      <alignment horizontal="left" vertical="center"/>
    </xf>
    <xf numFmtId="44" fontId="34" fillId="9" borderId="52" xfId="1" applyFont="1" applyFill="1" applyBorder="1"/>
    <xf numFmtId="44" fontId="34" fillId="9" borderId="50" xfId="0" applyNumberFormat="1" applyFont="1" applyFill="1" applyBorder="1"/>
    <xf numFmtId="0" fontId="27" fillId="9" borderId="44" xfId="0" applyFont="1" applyFill="1" applyBorder="1"/>
    <xf numFmtId="0" fontId="27" fillId="9" borderId="52" xfId="0" applyFont="1" applyFill="1" applyBorder="1"/>
    <xf numFmtId="44" fontId="27" fillId="9" borderId="10" xfId="0" applyNumberFormat="1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8" xfId="2" applyFont="1" applyBorder="1" applyAlignment="1">
      <alignment horizontal="left" vertical="center"/>
    </xf>
    <xf numFmtId="0" fontId="5" fillId="0" borderId="28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 wrapText="1"/>
    </xf>
    <xf numFmtId="0" fontId="15" fillId="5" borderId="32" xfId="0" applyFont="1" applyFill="1" applyBorder="1" applyAlignment="1">
      <alignment horizontal="left"/>
    </xf>
    <xf numFmtId="0" fontId="15" fillId="5" borderId="33" xfId="0" applyFont="1" applyFill="1" applyBorder="1" applyAlignment="1">
      <alignment horizontal="left"/>
    </xf>
    <xf numFmtId="0" fontId="15" fillId="5" borderId="34" xfId="0" applyFont="1" applyFill="1" applyBorder="1" applyAlignment="1">
      <alignment horizontal="left"/>
    </xf>
    <xf numFmtId="0" fontId="11" fillId="4" borderId="35" xfId="0" applyFont="1" applyFill="1" applyBorder="1" applyAlignment="1">
      <alignment horizontal="left" vertical="center"/>
    </xf>
    <xf numFmtId="0" fontId="11" fillId="4" borderId="36" xfId="0" applyFont="1" applyFill="1" applyBorder="1" applyAlignment="1">
      <alignment horizontal="left" vertical="center"/>
    </xf>
    <xf numFmtId="0" fontId="11" fillId="4" borderId="37" xfId="0" applyFont="1" applyFill="1" applyBorder="1" applyAlignment="1">
      <alignment horizontal="left" vertical="center"/>
    </xf>
    <xf numFmtId="0" fontId="15" fillId="5" borderId="46" xfId="0" applyFont="1" applyFill="1" applyBorder="1" applyAlignment="1">
      <alignment horizontal="left"/>
    </xf>
    <xf numFmtId="0" fontId="15" fillId="5" borderId="38" xfId="0" applyFont="1" applyFill="1" applyBorder="1" applyAlignment="1">
      <alignment horizontal="left"/>
    </xf>
    <xf numFmtId="0" fontId="15" fillId="5" borderId="42" xfId="0" applyFont="1" applyFill="1" applyBorder="1" applyAlignment="1">
      <alignment horizontal="left"/>
    </xf>
    <xf numFmtId="0" fontId="13" fillId="0" borderId="1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left" vertical="center" wrapText="1"/>
    </xf>
    <xf numFmtId="0" fontId="16" fillId="0" borderId="5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4" fillId="0" borderId="1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32" fillId="12" borderId="1" xfId="0" applyFont="1" applyFill="1" applyBorder="1" applyAlignment="1">
      <alignment vertical="center"/>
    </xf>
    <xf numFmtId="0" fontId="32" fillId="12" borderId="3" xfId="0" applyFont="1" applyFill="1" applyBorder="1" applyAlignment="1">
      <alignment vertical="center"/>
    </xf>
    <xf numFmtId="0" fontId="6" fillId="16" borderId="1" xfId="0" applyFont="1" applyFill="1" applyBorder="1" applyAlignment="1">
      <alignment horizontal="left" vertical="center"/>
    </xf>
    <xf numFmtId="0" fontId="6" fillId="16" borderId="3" xfId="0" applyFont="1" applyFill="1" applyBorder="1" applyAlignment="1">
      <alignment horizontal="left" vertical="center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7" xfId="0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32" fillId="12" borderId="6" xfId="0" applyFont="1" applyFill="1" applyBorder="1" applyAlignment="1">
      <alignment vertical="center"/>
    </xf>
    <xf numFmtId="0" fontId="32" fillId="12" borderId="5" xfId="0" applyFont="1" applyFill="1" applyBorder="1" applyAlignment="1">
      <alignment vertical="center"/>
    </xf>
    <xf numFmtId="0" fontId="0" fillId="11" borderId="8" xfId="0" applyFill="1" applyBorder="1" applyAlignment="1">
      <alignment vertical="center"/>
    </xf>
    <xf numFmtId="0" fontId="0" fillId="11" borderId="9" xfId="0" applyFill="1" applyBorder="1" applyAlignment="1">
      <alignment vertical="center"/>
    </xf>
    <xf numFmtId="0" fontId="30" fillId="11" borderId="47" xfId="0" applyFont="1" applyFill="1" applyBorder="1" applyAlignment="1">
      <alignment horizontal="center" vertical="center"/>
    </xf>
    <xf numFmtId="0" fontId="30" fillId="11" borderId="48" xfId="0" applyFont="1" applyFill="1" applyBorder="1" applyAlignment="1">
      <alignment horizontal="center" vertical="center"/>
    </xf>
    <xf numFmtId="0" fontId="31" fillId="11" borderId="47" xfId="0" applyFont="1" applyFill="1" applyBorder="1" applyAlignment="1">
      <alignment horizontal="center" vertical="center"/>
    </xf>
    <xf numFmtId="0" fontId="31" fillId="11" borderId="48" xfId="0" applyFont="1" applyFill="1" applyBorder="1" applyAlignment="1">
      <alignment horizontal="center" vertical="center"/>
    </xf>
    <xf numFmtId="0" fontId="35" fillId="11" borderId="47" xfId="0" applyFont="1" applyFill="1" applyBorder="1" applyAlignment="1">
      <alignment horizontal="center" vertical="center"/>
    </xf>
    <xf numFmtId="0" fontId="11" fillId="11" borderId="48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33" fillId="0" borderId="54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54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169" fontId="33" fillId="18" borderId="10" xfId="1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left" vertical="center"/>
    </xf>
    <xf numFmtId="1" fontId="38" fillId="17" borderId="24" xfId="0" applyNumberFormat="1" applyFont="1" applyFill="1" applyBorder="1" applyAlignment="1">
      <alignment horizontal="center" vertical="center"/>
    </xf>
    <xf numFmtId="1" fontId="38" fillId="17" borderId="25" xfId="0" applyNumberFormat="1" applyFont="1" applyFill="1" applyBorder="1" applyAlignment="1">
      <alignment horizontal="center" vertical="center"/>
    </xf>
    <xf numFmtId="1" fontId="38" fillId="17" borderId="27" xfId="0" applyNumberFormat="1" applyFont="1" applyFill="1" applyBorder="1" applyAlignment="1">
      <alignment horizontal="center" vertical="center"/>
    </xf>
    <xf numFmtId="1" fontId="38" fillId="0" borderId="13" xfId="0" applyNumberFormat="1" applyFont="1" applyBorder="1" applyAlignment="1">
      <alignment horizontal="center" vertical="center"/>
    </xf>
    <xf numFmtId="1" fontId="38" fillId="0" borderId="10" xfId="0" applyNumberFormat="1" applyFont="1" applyBorder="1" applyAlignment="1">
      <alignment horizontal="center" vertical="center"/>
    </xf>
    <xf numFmtId="1" fontId="38" fillId="0" borderId="12" xfId="0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5" xfId="0" applyNumberFormat="1" applyFont="1" applyBorder="1" applyAlignment="1">
      <alignment horizontal="center" vertical="center"/>
    </xf>
    <xf numFmtId="1" fontId="38" fillId="0" borderId="16" xfId="0" applyNumberFormat="1" applyFont="1" applyBorder="1" applyAlignment="1">
      <alignment horizontal="center" vertical="center"/>
    </xf>
    <xf numFmtId="0" fontId="36" fillId="7" borderId="10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center" vertical="center"/>
    </xf>
    <xf numFmtId="0" fontId="27" fillId="8" borderId="24" xfId="0" applyFont="1" applyFill="1" applyBorder="1"/>
    <xf numFmtId="0" fontId="27" fillId="8" borderId="51" xfId="0" applyFont="1" applyFill="1" applyBorder="1"/>
    <xf numFmtId="44" fontId="27" fillId="8" borderId="51" xfId="1" applyFont="1" applyFill="1" applyBorder="1"/>
    <xf numFmtId="44" fontId="27" fillId="8" borderId="25" xfId="0" applyNumberFormat="1" applyFont="1" applyFill="1" applyBorder="1"/>
    <xf numFmtId="10" fontId="34" fillId="8" borderId="25" xfId="8" applyNumberFormat="1" applyFont="1" applyFill="1" applyBorder="1"/>
    <xf numFmtId="10" fontId="34" fillId="8" borderId="25" xfId="0" applyNumberFormat="1" applyFont="1" applyFill="1" applyBorder="1"/>
    <xf numFmtId="0" fontId="34" fillId="8" borderId="27" xfId="0" applyFont="1" applyFill="1" applyBorder="1" applyAlignment="1">
      <alignment horizontal="center"/>
    </xf>
    <xf numFmtId="0" fontId="34" fillId="8" borderId="17" xfId="0" applyFont="1" applyFill="1" applyBorder="1"/>
    <xf numFmtId="0" fontId="34" fillId="8" borderId="42" xfId="0" applyFont="1" applyFill="1" applyBorder="1"/>
    <xf numFmtId="44" fontId="34" fillId="8" borderId="42" xfId="1" applyFont="1" applyFill="1" applyBorder="1"/>
    <xf numFmtId="44" fontId="34" fillId="8" borderId="18" xfId="0" applyNumberFormat="1" applyFont="1" applyFill="1" applyBorder="1"/>
    <xf numFmtId="10" fontId="34" fillId="8" borderId="18" xfId="8" applyNumberFormat="1" applyFont="1" applyFill="1" applyBorder="1"/>
    <xf numFmtId="10" fontId="34" fillId="8" borderId="10" xfId="0" applyNumberFormat="1" applyFont="1" applyFill="1" applyBorder="1"/>
    <xf numFmtId="0" fontId="34" fillId="8" borderId="12" xfId="0" applyFont="1" applyFill="1" applyBorder="1" applyAlignment="1">
      <alignment horizontal="center"/>
    </xf>
    <xf numFmtId="0" fontId="27" fillId="8" borderId="17" xfId="0" applyFont="1" applyFill="1" applyBorder="1"/>
    <xf numFmtId="0" fontId="27" fillId="8" borderId="42" xfId="0" applyFont="1" applyFill="1" applyBorder="1"/>
    <xf numFmtId="44" fontId="27" fillId="8" borderId="42" xfId="1" applyFont="1" applyFill="1" applyBorder="1"/>
    <xf numFmtId="44" fontId="27" fillId="8" borderId="18" xfId="0" applyNumberFormat="1" applyFont="1" applyFill="1" applyBorder="1"/>
  </cellXfs>
  <cellStyles count="9">
    <cellStyle name="Moeda" xfId="1" builtinId="4"/>
    <cellStyle name="Moeda 2" xfId="6" xr:uid="{00000000-0005-0000-0000-000001000000}"/>
    <cellStyle name="Normal" xfId="0" builtinId="0"/>
    <cellStyle name="Normal 11" xfId="2" xr:uid="{00000000-0005-0000-0000-000003000000}"/>
    <cellStyle name="Normal 2" xfId="3" xr:uid="{00000000-0005-0000-0000-000004000000}"/>
    <cellStyle name="Normal 3" xfId="4" xr:uid="{00000000-0005-0000-0000-000005000000}"/>
    <cellStyle name="Porcentagem" xfId="8" builtinId="5"/>
    <cellStyle name="Separador de milhares 4" xfId="7" xr:uid="{00000000-0005-0000-0000-000007000000}"/>
    <cellStyle name="Vírgula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'Curva ABC de Insumos'!$I$38</c:f>
              <c:strCache>
                <c:ptCount val="1"/>
                <c:pt idx="0">
                  <c:v>% Individual</c:v>
                </c:pt>
              </c:strCache>
            </c:strRef>
          </c:tx>
          <c:invertIfNegative val="0"/>
          <c:cat>
            <c:strRef>
              <c:f>'Curva ABC de Insumos'!$C$39:$C$113</c:f>
              <c:strCache>
                <c:ptCount val="75"/>
                <c:pt idx="0">
                  <c:v>FORNECIMENTO E INSTALAÇÃO DE UNIDADE EVAPORADORA VRV - Hi-Wall - 6.100 kcal/h - Modelo FXAQ63AVM, fabricação Daikin ou equivalente</c:v>
                </c:pt>
                <c:pt idx="1">
                  <c:v>FORNECIMENTO E INSTALAÇÃO DE UNIDADE CONDENSADORA VRV, CAPACIDADE DE 16HP,  Modelo RHXYQ16ATL - Fabricante Daikin ou equivalente</c:v>
                </c:pt>
                <c:pt idx="2">
                  <c:v>FORNECIMENTO E INSTALAÇÃO DE UNIDADE CONDENSADORA VRV, CAPACIDADE DE 12HP,  Modelo RHXYQ12ATL - Fabricante Daikin ou equivalente</c:v>
                </c:pt>
                <c:pt idx="3">
                  <c:v>FORNECIMENTO E INSTALAÇÃO DE UNIDADE CONDENSADORA VRV, CAPACIDADE DE 10HP,  Modelo RHXYQ10ATL - Fabricante Daikin ou equivalente</c:v>
                </c:pt>
                <c:pt idx="4">
                  <c:v>EQUIPE TÉCNICA CONSTITUÍDA POR 01 ENGENHEIRO MECÂNICO, COM ENCARGOS COMPLEMENTARES</c:v>
                </c:pt>
                <c:pt idx="5">
                  <c:v>ENCARREGADO GERAL DE OBRAS COM ENCARGOS COMPLEMENTARES</c:v>
                </c:pt>
                <c:pt idx="6">
                  <c:v>FORNECIMENTO E INSTALAÇÃO DE Kit de Controle Centralizado, Mod. Reiri for Office, Combinação DCPF06BR+DCPA01, fabricação Daikin ou equivalente</c:v>
                </c:pt>
                <c:pt idx="7">
                  <c:v>FORNECIMENTO E INSTALAÇÃO DE TUBULAÇÃO DE COBRE RÍGIDO, INCLUSO CONEXÕES, Diâmetro 5/8", #1/16", COM ISOLAMENTO EM BORRACHA ELASTOMÉRICA</c:v>
                </c:pt>
                <c:pt idx="8">
                  <c:v>FORNECIMENTO, FABRICAÇÃO E MONTAGEM DE DUTOS DE AR em MPU/ALUPIR #20mm</c:v>
                </c:pt>
                <c:pt idx="9">
                  <c:v>FORNECIMENTO E INSTALAÇÃO DE ELETRODUTO EM AÇO GALVANIZADO SEMI-PESADO, INCLUINDO CONEXÕES, D.N. 3/4"</c:v>
                </c:pt>
                <c:pt idx="10">
                  <c:v>Quadro Elétrico - QF-AC - FORNECIMENTO E INSTALAÇÃO</c:v>
                </c:pt>
                <c:pt idx="11">
                  <c:v>FORNECIMENTO E INSTALAÇÃO de Controlador Remoto com Fio, Mod. BRC2E61,  fabricação Daikin ou equivalente</c:v>
                </c:pt>
                <c:pt idx="12">
                  <c:v>FORNECIMENTO E INSTALAÇÃO DE TUBULAÇÃO DE COBRE RÍGIDO, INCLUSO CONEXÕES, Diâmetro 1'1/2", #1/16", COM ISOLAMENTO EM BORRACHA ELASTOMÉRICA </c:v>
                </c:pt>
                <c:pt idx="13">
                  <c:v>FORNECIMENTO E INSTALAÇÃO DE TUBULAÇÃO DE COBRE RÍGIDO, INCLUSO CONEXÕES, Diâmetro 3/4", #1/16", COM ISOLAMENTO EM BORRACHA ELASTOMÉRICA</c:v>
                </c:pt>
                <c:pt idx="14">
                  <c:v>FORNECIMENTO E INSTALAÇÃO DE TUBULAÇÃO DE COBRE RÍGIDO, INCLUSO CONEXÕES, Diâmetro 3/8", #1/16", COM ISOLAMENTO EM BORRACHA ELASTOMÉRICA</c:v>
                </c:pt>
                <c:pt idx="15">
                  <c:v>FORNECIMENTO E INSTALAÇÃO DE FORRO EM PLACAS DE GESSO, COM PINTURA ANTIMOFO, APOIADO EM PERFIS DE AÇO GALVANIZADO, PARA RECONSTITUIÇÃO DAS ÁREAS AFETADAS PELA OBRA                                                                                             </c:v>
                </c:pt>
                <c:pt idx="16">
                  <c:v>FORNECIMENTO E INSTALAÇÃO DE KIT REFNET de derivação Modelo KHRP26A73T, fabricação Daikin ou equivalente</c:v>
                </c:pt>
                <c:pt idx="17">
                  <c:v>FORNECIMENTO E INSTALAÇÃO DE ELETRODUTO EM AÇO GALVANIZADO SEMI-PESADO, INCLUINDO CONEXÕES, D.N. 1'1/2"</c:v>
                </c:pt>
                <c:pt idx="18">
                  <c:v>FORNECIMENTO E INSTALAÇÃO DE CABO DE COBRE FLEXÍVEL ISOLADO, 10,0 mm², ANTI-CHAMA, NÃO HALOGENADO, ISOLAÇÃO HEPR, 1,00kV</c:v>
                </c:pt>
                <c:pt idx="19">
                  <c:v>FORNECIMENTO E INSTALAÇÃO DE KIT REFNET de derivação Modelo KHRP26A72T, fabricação Daikin ou equivalente</c:v>
                </c:pt>
                <c:pt idx="20">
                  <c:v>FORNECIMENTO E INSTALAÇÃO DE ELETRODUTO EM AÇO GALVANIZADO SEMI-PESADO, INCLUINDO CONEXÕES, D.N. 1"</c:v>
                </c:pt>
                <c:pt idx="21">
                  <c:v>FORNECIMENTO E INSTALAÇÃO DE CONJUNTO DE SUPORTAÇÃO DA IFRAESTRUTURA ELETROMECÂNICA, POR PERFILADO DE SEÇÃO 38X19 MM (14 E 22GSG) E ABRAÇADEIRAS METÁLICAS TIPO CUNHA</c:v>
                </c:pt>
                <c:pt idx="22">
                  <c:v>FORNECIMENTO E INSTALAÇÃO DE TUBULAÇÃO DE COBRE RÍGIDO, INCLUSO CONEXÕES, Diâmetro 1'1/4", #1/16", COM ISOLAMENTO EM BORRACHA ELASTOMÉRICA </c:v>
                </c:pt>
                <c:pt idx="23">
                  <c:v>FORNECIMENTO E INSTALAÇÃO DE CAIXA DE VENTILAÇÃO, Q=1.475,00m³/h, h=38mmCA, Mod. FH315, Filtragem G4+F8, 220V, 1F, 60Hz, c/ Potenciômetro, fabricação Sicflux ou equivalente</c:v>
                </c:pt>
                <c:pt idx="24">
                  <c:v>FORNECIMENTO E INSTALAÇÃO DE CABO DE COBRE FLEXÍVEL ISOLADO, 6,0 mm², ANTI-CHAMA, NÃO HALOGENADO, ISOLAMENTO 750V</c:v>
                </c:pt>
                <c:pt idx="25">
                  <c:v>FORNECIMENTO E INSTALAÇÃO DE VÁLVULA DE SERVIÇO, diâmetro 5/8", GBC Danfos ou equivalente</c:v>
                </c:pt>
                <c:pt idx="26">
                  <c:v>FORNECIMENTO E INSTALAÇÃO DE CABO DE COBRE FLEXÍVEL ISOLADO, 35,0 mm², ANTI-CHAMA, NÃO HALOGENADO, ISOLAÇÃO HEPR, 1,00kV</c:v>
                </c:pt>
                <c:pt idx="27">
                  <c:v>FORNECIMENTO E INSTALAÇÃO DE VÁLVULA DE SERVIÇO, diâmetro 3/8", GBC Danfoss ou equivalente.</c:v>
                </c:pt>
                <c:pt idx="28">
                  <c:v>FORNECIMENTO E INSTALAÇÃO DE KIT REFNET de redução Modelo KHRP26M73TP9,  fabricação Daikin ou equivalente</c:v>
                </c:pt>
                <c:pt idx="29">
                  <c:v>APLICAÇÃO MANUAL DE PINTURA COM TINTA LÁTEX ACRÍLICA EM PAREDES E TETO, DUAS DEMÃOS, PARA ACABAMENTO DAS ÁREAS RECONSTITUÍDAS</c:v>
                </c:pt>
                <c:pt idx="30">
                  <c:v>FORNECIMENTO E INSTALAÇÃO de Grelha de Insuflamento/Retorno, Mod. VAT-DG, Dimensões 225x165mm, fabricação Trox ou equivalente</c:v>
                </c:pt>
                <c:pt idx="31">
                  <c:v>LOCAÇÃO DE CONTAINER METÁLICO TIPO DEPÓSITO/ALMOXARIFADO DE 10,60m²</c:v>
                </c:pt>
                <c:pt idx="32">
                  <c:v>FORNECIMENTO E INSTALAÇÃO DE TUBULAÇÃO DE COBRE RÍGIDO, INCLUSO CONEXÕES, Diâmetro 1'1/8", #1/16", COM ISOLAMENTO EM BORRACHA ELASTOMÉRICA</c:v>
                </c:pt>
                <c:pt idx="33">
                  <c:v>EXECUÇÃO DE VÁCUO NOS CIRCUITOS FRIGORÍFICOS</c:v>
                </c:pt>
                <c:pt idx="34">
                  <c:v>FORNECIMENTO E INSTALAÇÃO DE FLUÍDO REFRIGERANTE R410a</c:v>
                </c:pt>
                <c:pt idx="35">
                  <c:v>TESTES DE ESTANQUEIDADE NOS CIRCUITOS FRIGORÍFICOS</c:v>
                </c:pt>
                <c:pt idx="36">
                  <c:v>START-UP DOS SISTEMAS COM SUPERVISÃO TÉCNICA DO FABRICANTE</c:v>
                </c:pt>
                <c:pt idx="37">
                  <c:v>FORNECIMENTO E INSTALAÇÃO DE KIT DE CONEXÃO DE TUBULAÇÃO Modelo  BHFP22P151, fabricação Daikin ou equivalente</c:v>
                </c:pt>
                <c:pt idx="38">
                  <c:v>CABEAMENTO DE SINAL ENTRE UNIDADES, ISOLAÇÃO PVC, 2 x #1.0mm², SHIELDADO, 750 V</c:v>
                </c:pt>
                <c:pt idx="39">
                  <c:v>REMOÇÃO E REINSTALAÇÃO DE LUMINÁRIAS EXISTENTES, INCLUSIVE ELEMENTOS DE SUPORTAÇÃO E INFRAESTRUTURA</c:v>
                </c:pt>
                <c:pt idx="40">
                  <c:v>REDE DE DRENAGEM EM PVC MARROM COM ISOLAMENTO EM BORRACHA ELASTOMÉRICA, INCLUINDO CONEXÕES E ACESSÓRIOS, DN. 1" (Rede de Drenagem)</c:v>
                </c:pt>
                <c:pt idx="41">
                  <c:v>FABRICAÇÃO DE FÔRMA PARA ESTRUTURAS EM CONCRETO ARMADO, EM CHAPA DE MADEIRA COMPENSADA RESINADA, E = 17 MM, PARA BASES DE CONCRETO</c:v>
                </c:pt>
                <c:pt idx="42">
                  <c:v>CONCRETAGEM DE CANALETA DE CONCRETO, BASE DE SUPORTAÇÃO E NIVELAMENTO DAS UNIDADES CONDENSADORAS E RECOMPOSIÇÃO DE CALÇADA, NAS ÁREAS AFETADAS PELA OBRA</c:v>
                </c:pt>
                <c:pt idx="43">
                  <c:v>ELABORAÇÃO DO PROGRAMA DE CONDIÇÕES E MEIO AMBIENTE (PCMAT)</c:v>
                </c:pt>
                <c:pt idx="44">
                  <c:v>ESCAVAÇÃO MANUAL DE SOLO PARA IMPLANTAÇÃO DA CANALETA DE CONCRETO E BASE DE SUPORTAÇÃO E NIVELAMENTO DAS UNIDADES CONDENSADORAS, INCLUSIVE FORNECIMENTO E PLANTIO DE FORRAÇÃO NAS ÁREAS AFETADAS</c:v>
                </c:pt>
                <c:pt idx="45">
                  <c:v>TREINAMENTO PARA OPERAÇÃO DO SISTEMA, MINISTRADO POR PROFISSIONAL HABILITADO A 02 SERVIDORES/PROFISSIONAIS DO FÓRUM</c:v>
                </c:pt>
                <c:pt idx="46">
                  <c:v>ELABORAÇÃO DO PLANO DE GERENCIAMENTO DE RESÍDUOS DA CONSTRUÇÃO CIVIL (PGRCC)</c:v>
                </c:pt>
                <c:pt idx="47">
                  <c:v>FORNECIMENTO E INSTALAÇÃO DE KIT REFNET de derivação Modelo KHRP26A22T, fabricação Daikin ou equivalente</c:v>
                </c:pt>
                <c:pt idx="48">
                  <c:v>FORNECIMENTO E INSTALAÇÃO de Porta de Inspeção para Duto, Pré-Fabricada, Dimensões 250x120mm, fabricação Refrin ou equivalente</c:v>
                </c:pt>
                <c:pt idx="49">
                  <c:v>MONTAGEM E DESMONTAGEM DE ANDAIME TIPO TORRE </c:v>
                </c:pt>
                <c:pt idx="50">
                  <c:v>FORNECIMENTO E INSTALAÇÃO DE CABO DE COBRE FLEXÍVEL ISOLADO, 2,5 mm², ANTI-CHAMA, NÃO HALOGENADO, ISOLAMENTO 750V </c:v>
                </c:pt>
                <c:pt idx="51">
                  <c:v>PLACA DE OBRA EM CHAPA DE AÇO GALVANIZADO, FORNECIMENTO E INSTALAÇÃO</c:v>
                </c:pt>
                <c:pt idx="52">
                  <c:v>ARMAÇÃO DAS BASES DE NIVELAMENTO E VALAS DE PASSSAGEM UTILIZANDO AÇO CA-50 DE 12,5MM, PARA ARMAÇÃO DAS BASES DE CONCRETO</c:v>
                </c:pt>
                <c:pt idx="53">
                  <c:v>FORNECIMENTO E INSTALAÇÃO DE TUBULAÇÃO DE COBRE RÍGIDO, INCLUSO CONEXÕES, Diâmetro 7/8", #1/16", COM ISOLAMENTO EM BORRACHA ELASTOMÉRICA</c:v>
                </c:pt>
                <c:pt idx="54">
                  <c:v>FORNECIMENTO E INSTALAÇÃO DE CABO DE COBRE FLEXÍVEL ISOLADO, 25,0 mm², ANTI-CHAMA, NÃO HALOGENADO, ISOLAÇÃO HEPR, 1,00kV</c:v>
                </c:pt>
                <c:pt idx="55">
                  <c:v>FORNECIMENTO E INSTALAÇÃO DE KIT REFNET de derivação Modelo KHRP26A33T, fabaricação Daikin ou equivalente</c:v>
                </c:pt>
                <c:pt idx="56">
                  <c:v>ANOTAÇÕES DE RESPONSABILIDADE TÉCNICA DE EXECUÇÃO DO PROJETO</c:v>
                </c:pt>
                <c:pt idx="57">
                  <c:v>DISJUNTOR TRIPOLAR EM CAIXA MOLDADA, 125,00A, Icc = 18kA - FORNECIMENTO E INSTALAÇÃO</c:v>
                </c:pt>
                <c:pt idx="58">
                  <c:v>REMOÇÃO E ARMAZENAMENTO DE ENTULHOS DA OBRA COM CAÇAMBA METÁLICA (4,00m³), ABRANGENDO RESÍDUOS METÁLICOS, PLÁSTICOS, MADEIRA, PAPEL CONCRETO, ARGAMASSA, TERRA E/OU ALVENARIA, INCLUSIVE TRANSPORTE AO LOCAL DE DESPEJO/DESTINAÇÃO</c:v>
                </c:pt>
                <c:pt idx="59">
                  <c:v>APLICAÇÃO DE FUNDO SELADOR ACRÍLICO EM PAREDES E TETO, UMA DEMÃO, PARA ACABAMENTO DAS ÁREAS RECONSTITUÍDAS</c:v>
                </c:pt>
                <c:pt idx="60">
                  <c:v>REMOÇÃO DE FORRO DE GESSO, DE FORMA MANUAL, SEM REAPROVEITAMENTO. AF_09/2023</c:v>
                </c:pt>
                <c:pt idx="61">
                  <c:v>FORNECIMENTO E INSTALAÇÃO DE TUBULAÇÃO DE COBRE RÍGIDO, INCLUSO CONEXÕES, Diâmetro 1", #1/16", COM ISOLAMENTO EM BORRACHA ELASTOMÉRICA</c:v>
                </c:pt>
                <c:pt idx="62">
                  <c:v>LIMPEZA FINAL DA OBRA ( INCLUSIVE DURANTE A EXECUÇÃO).</c:v>
                </c:pt>
                <c:pt idx="63">
                  <c:v>LIGAÇÃO TERMINAL FLEXÍVEL DE FORÇA E SINAL DAS UNIDADES EVAPORADORAS E CAIXAS DE VENTILAÇÃO, POR SEALTUBE FLEXÍVEL EM AÇO GALVANIZADO, REVESTIMENTO EM PVC", D.N. 3/4", INCLUSO CONECTOR GIRATÓRIO</c:v>
                </c:pt>
                <c:pt idx="64">
                  <c:v>PINTURA ANTICORROSIVA E DE ACABAMENTO DOS ELETRODUTOS, TUBULAÇÕES, PERFILADOS, LINHAS RECHAPEADAS E DEMAIS ELEMENTOS METÁLICOS APARENTES</c:v>
                </c:pt>
                <c:pt idx="65">
                  <c:v>FORNECIMENTO E INSTALAÇÃO DE TUBULAÇÃO DE COBRE RÍGIDO, INCLUSO CONEXÕES, Diâmetro 1/2", #1/16", COM ISOLAMENTO EM BORRACHA ELASTOMÉRICA</c:v>
                </c:pt>
                <c:pt idx="66">
                  <c:v>MASSA ÚNICA, PARA RECEBIMENTO DE PINTURA OU CERÂMICA, EM ARGAMASSA INDUSTRIALIZADA, PREPARO MECÂNICO, APLICADO COM EQUIPAMENTO DE MISTURA E PROJEÇÃO DE 1,5 M3/H DE ARGAMASSA EM FACES INTERNAS DE PAREDES, #10MM, PARA RECOMPOSIÇÃO/ACABAMENTO DAS ÁREAS DE ABE</c:v>
                </c:pt>
                <c:pt idx="67">
                  <c:v>CALÇO DE NEOPRENE, 100x100x25mm, COMO ELEMENTO INTERMEDIÁRIO/AMORTECEDOR À SUPORTAÇÃO DAS UNIDADES CONDENSADORAS</c:v>
                </c:pt>
                <c:pt idx="68">
                  <c:v>FORNECIMENTO E INSTALAÇÃO de Damper de Regulagem, Mod. JN-B, Dimensões 200x250mm, fabricação Trox ou equivalente</c:v>
                </c:pt>
                <c:pt idx="69">
                  <c:v>FORNECIMENTO E INSTALAÇÃO DE MANTA DE ALUMÍNIO LISO para Rechapeamento, Incluso Cintas Metálicas e Acessórios de Fixação</c:v>
                </c:pt>
                <c:pt idx="70">
                  <c:v>FORNECIMENTO E INSTALAÇÃO de Veneziana para Tomada de Ar Externo, Mod. AWG, Dimensões 397x197mm, fabricação Trox ou equivalente</c:v>
                </c:pt>
                <c:pt idx="71">
                  <c:v>RASGO EM ALVENARIA, PARA INSTALAÇÃO DAS CAIXAS DE LIGAÇÃO DAS UNIDADES EVAPORADORAS</c:v>
                </c:pt>
                <c:pt idx="72">
                  <c:v>FURAÇÃO/ABERTURA EM ALVENARIA PARA PASSAGEM DA INFRAESTRUTURA ELETROMECÂNICA/TOMADAS DE AR EXTERNO</c:v>
                </c:pt>
                <c:pt idx="73">
                  <c:v>LIGAÇÃO TERMINAL FLEXÍVEL DE FORÇA E SINAL DAS UNIDADES CONDENSADORAS, POR SEALTUBE FLEXÍVEL EM AÇO GALVANIZADO, REVESTIMENTO EM PVC", D.N. 1", INCLUSO CONECTOR GIRATÓRIO</c:v>
                </c:pt>
                <c:pt idx="74">
                  <c:v>FORNECIMENTO E INSTALAÇÃO DO CONJUNTO DE SUPORTAÇÃO DO GABINETE DE VENTILAÇÃO</c:v>
                </c:pt>
              </c:strCache>
            </c:strRef>
          </c:cat>
          <c:val>
            <c:numRef>
              <c:f>'Curva ABC de Insumos'!$I$39:$I$113</c:f>
              <c:numCache>
                <c:formatCode>0.00%</c:formatCode>
                <c:ptCount val="75"/>
                <c:pt idx="0">
                  <c:v>0.14331406084003409</c:v>
                </c:pt>
                <c:pt idx="1">
                  <c:v>0.12505410589890356</c:v>
                </c:pt>
                <c:pt idx="2">
                  <c:v>0.1036595749935134</c:v>
                </c:pt>
                <c:pt idx="3">
                  <c:v>9.5833069999816348E-2</c:v>
                </c:pt>
                <c:pt idx="4">
                  <c:v>4.6162222003070942E-2</c:v>
                </c:pt>
                <c:pt idx="5">
                  <c:v>4.5041875309399931E-2</c:v>
                </c:pt>
                <c:pt idx="6">
                  <c:v>4.2319074439416397E-2</c:v>
                </c:pt>
                <c:pt idx="7">
                  <c:v>3.1576756615980431E-2</c:v>
                </c:pt>
                <c:pt idx="8">
                  <c:v>3.1122609872626713E-2</c:v>
                </c:pt>
                <c:pt idx="9">
                  <c:v>2.8082752740469244E-2</c:v>
                </c:pt>
                <c:pt idx="10">
                  <c:v>2.0686592931115674E-2</c:v>
                </c:pt>
                <c:pt idx="11">
                  <c:v>1.9536124674028297E-2</c:v>
                </c:pt>
                <c:pt idx="12">
                  <c:v>1.90806944336358E-2</c:v>
                </c:pt>
                <c:pt idx="13">
                  <c:v>1.5948929165423099E-2</c:v>
                </c:pt>
                <c:pt idx="14">
                  <c:v>1.5183769968736278E-2</c:v>
                </c:pt>
                <c:pt idx="15">
                  <c:v>1.4016924939306017E-2</c:v>
                </c:pt>
                <c:pt idx="16">
                  <c:v>1.3720908280489262E-2</c:v>
                </c:pt>
                <c:pt idx="17">
                  <c:v>1.1958731833439771E-2</c:v>
                </c:pt>
                <c:pt idx="18">
                  <c:v>1.0109147613369743E-2</c:v>
                </c:pt>
                <c:pt idx="19">
                  <c:v>9.6380229661486537E-3</c:v>
                </c:pt>
                <c:pt idx="20">
                  <c:v>9.2450779107072674E-3</c:v>
                </c:pt>
                <c:pt idx="21">
                  <c:v>9.1826902065439125E-3</c:v>
                </c:pt>
                <c:pt idx="22">
                  <c:v>8.942887468666014E-3</c:v>
                </c:pt>
                <c:pt idx="23">
                  <c:v>8.6138085760022708E-3</c:v>
                </c:pt>
                <c:pt idx="24">
                  <c:v>7.4701964676536781E-3</c:v>
                </c:pt>
                <c:pt idx="25">
                  <c:v>7.4280360269495345E-3</c:v>
                </c:pt>
                <c:pt idx="26">
                  <c:v>6.5221145727441402E-3</c:v>
                </c:pt>
                <c:pt idx="27">
                  <c:v>5.686785455671502E-3</c:v>
                </c:pt>
                <c:pt idx="28">
                  <c:v>5.6182239682836472E-3</c:v>
                </c:pt>
                <c:pt idx="29">
                  <c:v>5.4004356416404746E-3</c:v>
                </c:pt>
                <c:pt idx="30">
                  <c:v>5.2164406547524529E-3</c:v>
                </c:pt>
                <c:pt idx="31">
                  <c:v>4.788548736900813E-3</c:v>
                </c:pt>
                <c:pt idx="32">
                  <c:v>4.331883739863417E-3</c:v>
                </c:pt>
                <c:pt idx="33">
                  <c:v>3.9843159911220971E-3</c:v>
                </c:pt>
                <c:pt idx="34">
                  <c:v>3.8904582393117573E-3</c:v>
                </c:pt>
                <c:pt idx="35">
                  <c:v>3.7946183781503943E-3</c:v>
                </c:pt>
                <c:pt idx="36">
                  <c:v>3.6845625687747241E-3</c:v>
                </c:pt>
                <c:pt idx="37">
                  <c:v>3.671890066366543E-3</c:v>
                </c:pt>
                <c:pt idx="38">
                  <c:v>3.5562616052908654E-3</c:v>
                </c:pt>
                <c:pt idx="39">
                  <c:v>3.3249721895435911E-3</c:v>
                </c:pt>
                <c:pt idx="40">
                  <c:v>3.035308028728886E-3</c:v>
                </c:pt>
                <c:pt idx="41">
                  <c:v>2.7101771079692315E-3</c:v>
                </c:pt>
                <c:pt idx="42">
                  <c:v>2.6904372484487949E-3</c:v>
                </c:pt>
                <c:pt idx="43">
                  <c:v>2.6454661116977092E-3</c:v>
                </c:pt>
                <c:pt idx="44">
                  <c:v>2.3247218263870409E-3</c:v>
                </c:pt>
                <c:pt idx="45">
                  <c:v>2.3028536363339479E-3</c:v>
                </c:pt>
                <c:pt idx="46">
                  <c:v>2.2045605086807442E-3</c:v>
                </c:pt>
                <c:pt idx="47">
                  <c:v>2.1093542726397896E-3</c:v>
                </c:pt>
                <c:pt idx="48">
                  <c:v>2.0366985921662149E-3</c:v>
                </c:pt>
                <c:pt idx="49">
                  <c:v>1.9805659052171544E-3</c:v>
                </c:pt>
                <c:pt idx="50">
                  <c:v>1.5996597270635413E-3</c:v>
                </c:pt>
                <c:pt idx="51">
                  <c:v>1.5812683517737187E-3</c:v>
                </c:pt>
                <c:pt idx="52">
                  <c:v>1.4987671117368646E-3</c:v>
                </c:pt>
                <c:pt idx="53">
                  <c:v>1.2595167649895793E-3</c:v>
                </c:pt>
                <c:pt idx="54">
                  <c:v>1.2279329897568806E-3</c:v>
                </c:pt>
                <c:pt idx="55">
                  <c:v>1.0892015819832102E-3</c:v>
                </c:pt>
                <c:pt idx="56">
                  <c:v>1.0820692376791183E-3</c:v>
                </c:pt>
                <c:pt idx="57">
                  <c:v>1.0790473332587059E-3</c:v>
                </c:pt>
                <c:pt idx="58">
                  <c:v>1.0756192588893131E-3</c:v>
                </c:pt>
                <c:pt idx="59">
                  <c:v>1.0406074092872216E-3</c:v>
                </c:pt>
                <c:pt idx="60">
                  <c:v>1.010632067052484E-3</c:v>
                </c:pt>
                <c:pt idx="61">
                  <c:v>8.2085322009098479E-4</c:v>
                </c:pt>
                <c:pt idx="62">
                  <c:v>6.4337319918460537E-4</c:v>
                </c:pt>
                <c:pt idx="63">
                  <c:v>6.036497781743437E-4</c:v>
                </c:pt>
                <c:pt idx="64">
                  <c:v>5.7026260836817288E-4</c:v>
                </c:pt>
                <c:pt idx="65">
                  <c:v>5.6239915815591663E-4</c:v>
                </c:pt>
                <c:pt idx="66">
                  <c:v>4.3695763111287775E-4</c:v>
                </c:pt>
                <c:pt idx="67">
                  <c:v>4.3339958235981136E-4</c:v>
                </c:pt>
                <c:pt idx="68">
                  <c:v>4.0262814702507292E-4</c:v>
                </c:pt>
                <c:pt idx="69">
                  <c:v>3.7133681415563987E-4</c:v>
                </c:pt>
                <c:pt idx="70">
                  <c:v>3.6352210433726124E-4</c:v>
                </c:pt>
                <c:pt idx="71">
                  <c:v>3.6214112651072861E-4</c:v>
                </c:pt>
                <c:pt idx="72">
                  <c:v>2.5817786636976169E-4</c:v>
                </c:pt>
                <c:pt idx="73">
                  <c:v>1.52898615594099E-4</c:v>
                </c:pt>
                <c:pt idx="74">
                  <c:v>3.3777092957191775E-5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F-46E7-953E-25AA6371A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273728"/>
        <c:axId val="203275264"/>
      </c:barChart>
      <c:lineChart>
        <c:grouping val="standard"/>
        <c:varyColors val="0"/>
        <c:ser>
          <c:idx val="1"/>
          <c:order val="1"/>
          <c:tx>
            <c:strRef>
              <c:f>'Curva ABC de Insumos'!$J$38</c:f>
              <c:strCache>
                <c:ptCount val="1"/>
                <c:pt idx="0">
                  <c:v>% Acumulado</c:v>
                </c:pt>
              </c:strCache>
            </c:strRef>
          </c:tx>
          <c:marker>
            <c:symbol val="none"/>
          </c:marker>
          <c:cat>
            <c:strRef>
              <c:f>'Curva ABC de Insumos'!$C$39:$C$113</c:f>
              <c:strCache>
                <c:ptCount val="75"/>
                <c:pt idx="0">
                  <c:v>FORNECIMENTO E INSTALAÇÃO DE UNIDADE EVAPORADORA VRV - Hi-Wall - 6.100 kcal/h - Modelo FXAQ63AVM, fabricação Daikin ou equivalente</c:v>
                </c:pt>
                <c:pt idx="1">
                  <c:v>FORNECIMENTO E INSTALAÇÃO DE UNIDADE CONDENSADORA VRV, CAPACIDADE DE 16HP,  Modelo RHXYQ16ATL - Fabricante Daikin ou equivalente</c:v>
                </c:pt>
                <c:pt idx="2">
                  <c:v>FORNECIMENTO E INSTALAÇÃO DE UNIDADE CONDENSADORA VRV, CAPACIDADE DE 12HP,  Modelo RHXYQ12ATL - Fabricante Daikin ou equivalente</c:v>
                </c:pt>
                <c:pt idx="3">
                  <c:v>FORNECIMENTO E INSTALAÇÃO DE UNIDADE CONDENSADORA VRV, CAPACIDADE DE 10HP,  Modelo RHXYQ10ATL - Fabricante Daikin ou equivalente</c:v>
                </c:pt>
                <c:pt idx="4">
                  <c:v>EQUIPE TÉCNICA CONSTITUÍDA POR 01 ENGENHEIRO MECÂNICO, COM ENCARGOS COMPLEMENTARES</c:v>
                </c:pt>
                <c:pt idx="5">
                  <c:v>ENCARREGADO GERAL DE OBRAS COM ENCARGOS COMPLEMENTARES</c:v>
                </c:pt>
                <c:pt idx="6">
                  <c:v>FORNECIMENTO E INSTALAÇÃO DE Kit de Controle Centralizado, Mod. Reiri for Office, Combinação DCPF06BR+DCPA01, fabricação Daikin ou equivalente</c:v>
                </c:pt>
                <c:pt idx="7">
                  <c:v>FORNECIMENTO E INSTALAÇÃO DE TUBULAÇÃO DE COBRE RÍGIDO, INCLUSO CONEXÕES, Diâmetro 5/8", #1/16", COM ISOLAMENTO EM BORRACHA ELASTOMÉRICA</c:v>
                </c:pt>
                <c:pt idx="8">
                  <c:v>FORNECIMENTO, FABRICAÇÃO E MONTAGEM DE DUTOS DE AR em MPU/ALUPIR #20mm</c:v>
                </c:pt>
                <c:pt idx="9">
                  <c:v>FORNECIMENTO E INSTALAÇÃO DE ELETRODUTO EM AÇO GALVANIZADO SEMI-PESADO, INCLUINDO CONEXÕES, D.N. 3/4"</c:v>
                </c:pt>
                <c:pt idx="10">
                  <c:v>Quadro Elétrico - QF-AC - FORNECIMENTO E INSTALAÇÃO</c:v>
                </c:pt>
                <c:pt idx="11">
                  <c:v>FORNECIMENTO E INSTALAÇÃO de Controlador Remoto com Fio, Mod. BRC2E61,  fabricação Daikin ou equivalente</c:v>
                </c:pt>
                <c:pt idx="12">
                  <c:v>FORNECIMENTO E INSTALAÇÃO DE TUBULAÇÃO DE COBRE RÍGIDO, INCLUSO CONEXÕES, Diâmetro 1'1/2", #1/16", COM ISOLAMENTO EM BORRACHA ELASTOMÉRICA </c:v>
                </c:pt>
                <c:pt idx="13">
                  <c:v>FORNECIMENTO E INSTALAÇÃO DE TUBULAÇÃO DE COBRE RÍGIDO, INCLUSO CONEXÕES, Diâmetro 3/4", #1/16", COM ISOLAMENTO EM BORRACHA ELASTOMÉRICA</c:v>
                </c:pt>
                <c:pt idx="14">
                  <c:v>FORNECIMENTO E INSTALAÇÃO DE TUBULAÇÃO DE COBRE RÍGIDO, INCLUSO CONEXÕES, Diâmetro 3/8", #1/16", COM ISOLAMENTO EM BORRACHA ELASTOMÉRICA</c:v>
                </c:pt>
                <c:pt idx="15">
                  <c:v>FORNECIMENTO E INSTALAÇÃO DE FORRO EM PLACAS DE GESSO, COM PINTURA ANTIMOFO, APOIADO EM PERFIS DE AÇO GALVANIZADO, PARA RECONSTITUIÇÃO DAS ÁREAS AFETADAS PELA OBRA                                                                                             </c:v>
                </c:pt>
                <c:pt idx="16">
                  <c:v>FORNECIMENTO E INSTALAÇÃO DE KIT REFNET de derivação Modelo KHRP26A73T, fabricação Daikin ou equivalente</c:v>
                </c:pt>
                <c:pt idx="17">
                  <c:v>FORNECIMENTO E INSTALAÇÃO DE ELETRODUTO EM AÇO GALVANIZADO SEMI-PESADO, INCLUINDO CONEXÕES, D.N. 1'1/2"</c:v>
                </c:pt>
                <c:pt idx="18">
                  <c:v>FORNECIMENTO E INSTALAÇÃO DE CABO DE COBRE FLEXÍVEL ISOLADO, 10,0 mm², ANTI-CHAMA, NÃO HALOGENADO, ISOLAÇÃO HEPR, 1,00kV</c:v>
                </c:pt>
                <c:pt idx="19">
                  <c:v>FORNECIMENTO E INSTALAÇÃO DE KIT REFNET de derivação Modelo KHRP26A72T, fabricação Daikin ou equivalente</c:v>
                </c:pt>
                <c:pt idx="20">
                  <c:v>FORNECIMENTO E INSTALAÇÃO DE ELETRODUTO EM AÇO GALVANIZADO SEMI-PESADO, INCLUINDO CONEXÕES, D.N. 1"</c:v>
                </c:pt>
                <c:pt idx="21">
                  <c:v>FORNECIMENTO E INSTALAÇÃO DE CONJUNTO DE SUPORTAÇÃO DA IFRAESTRUTURA ELETROMECÂNICA, POR PERFILADO DE SEÇÃO 38X19 MM (14 E 22GSG) E ABRAÇADEIRAS METÁLICAS TIPO CUNHA</c:v>
                </c:pt>
                <c:pt idx="22">
                  <c:v>FORNECIMENTO E INSTALAÇÃO DE TUBULAÇÃO DE COBRE RÍGIDO, INCLUSO CONEXÕES, Diâmetro 1'1/4", #1/16", COM ISOLAMENTO EM BORRACHA ELASTOMÉRICA </c:v>
                </c:pt>
                <c:pt idx="23">
                  <c:v>FORNECIMENTO E INSTALAÇÃO DE CAIXA DE VENTILAÇÃO, Q=1.475,00m³/h, h=38mmCA, Mod. FH315, Filtragem G4+F8, 220V, 1F, 60Hz, c/ Potenciômetro, fabricação Sicflux ou equivalente</c:v>
                </c:pt>
                <c:pt idx="24">
                  <c:v>FORNECIMENTO E INSTALAÇÃO DE CABO DE COBRE FLEXÍVEL ISOLADO, 6,0 mm², ANTI-CHAMA, NÃO HALOGENADO, ISOLAMENTO 750V</c:v>
                </c:pt>
                <c:pt idx="25">
                  <c:v>FORNECIMENTO E INSTALAÇÃO DE VÁLVULA DE SERVIÇO, diâmetro 5/8", GBC Danfos ou equivalente</c:v>
                </c:pt>
                <c:pt idx="26">
                  <c:v>FORNECIMENTO E INSTALAÇÃO DE CABO DE COBRE FLEXÍVEL ISOLADO, 35,0 mm², ANTI-CHAMA, NÃO HALOGENADO, ISOLAÇÃO HEPR, 1,00kV</c:v>
                </c:pt>
                <c:pt idx="27">
                  <c:v>FORNECIMENTO E INSTALAÇÃO DE VÁLVULA DE SERVIÇO, diâmetro 3/8", GBC Danfoss ou equivalente.</c:v>
                </c:pt>
                <c:pt idx="28">
                  <c:v>FORNECIMENTO E INSTALAÇÃO DE KIT REFNET de redução Modelo KHRP26M73TP9,  fabricação Daikin ou equivalente</c:v>
                </c:pt>
                <c:pt idx="29">
                  <c:v>APLICAÇÃO MANUAL DE PINTURA COM TINTA LÁTEX ACRÍLICA EM PAREDES E TETO, DUAS DEMÃOS, PARA ACABAMENTO DAS ÁREAS RECONSTITUÍDAS</c:v>
                </c:pt>
                <c:pt idx="30">
                  <c:v>FORNECIMENTO E INSTALAÇÃO de Grelha de Insuflamento/Retorno, Mod. VAT-DG, Dimensões 225x165mm, fabricação Trox ou equivalente</c:v>
                </c:pt>
                <c:pt idx="31">
                  <c:v>LOCAÇÃO DE CONTAINER METÁLICO TIPO DEPÓSITO/ALMOXARIFADO DE 10,60m²</c:v>
                </c:pt>
                <c:pt idx="32">
                  <c:v>FORNECIMENTO E INSTALAÇÃO DE TUBULAÇÃO DE COBRE RÍGIDO, INCLUSO CONEXÕES, Diâmetro 1'1/8", #1/16", COM ISOLAMENTO EM BORRACHA ELASTOMÉRICA</c:v>
                </c:pt>
                <c:pt idx="33">
                  <c:v>EXECUÇÃO DE VÁCUO NOS CIRCUITOS FRIGORÍFICOS</c:v>
                </c:pt>
                <c:pt idx="34">
                  <c:v>FORNECIMENTO E INSTALAÇÃO DE FLUÍDO REFRIGERANTE R410a</c:v>
                </c:pt>
                <c:pt idx="35">
                  <c:v>TESTES DE ESTANQUEIDADE NOS CIRCUITOS FRIGORÍFICOS</c:v>
                </c:pt>
                <c:pt idx="36">
                  <c:v>START-UP DOS SISTEMAS COM SUPERVISÃO TÉCNICA DO FABRICANTE</c:v>
                </c:pt>
                <c:pt idx="37">
                  <c:v>FORNECIMENTO E INSTALAÇÃO DE KIT DE CONEXÃO DE TUBULAÇÃO Modelo  BHFP22P151, fabricação Daikin ou equivalente</c:v>
                </c:pt>
                <c:pt idx="38">
                  <c:v>CABEAMENTO DE SINAL ENTRE UNIDADES, ISOLAÇÃO PVC, 2 x #1.0mm², SHIELDADO, 750 V</c:v>
                </c:pt>
                <c:pt idx="39">
                  <c:v>REMOÇÃO E REINSTALAÇÃO DE LUMINÁRIAS EXISTENTES, INCLUSIVE ELEMENTOS DE SUPORTAÇÃO E INFRAESTRUTURA</c:v>
                </c:pt>
                <c:pt idx="40">
                  <c:v>REDE DE DRENAGEM EM PVC MARROM COM ISOLAMENTO EM BORRACHA ELASTOMÉRICA, INCLUINDO CONEXÕES E ACESSÓRIOS, DN. 1" (Rede de Drenagem)</c:v>
                </c:pt>
                <c:pt idx="41">
                  <c:v>FABRICAÇÃO DE FÔRMA PARA ESTRUTURAS EM CONCRETO ARMADO, EM CHAPA DE MADEIRA COMPENSADA RESINADA, E = 17 MM, PARA BASES DE CONCRETO</c:v>
                </c:pt>
                <c:pt idx="42">
                  <c:v>CONCRETAGEM DE CANALETA DE CONCRETO, BASE DE SUPORTAÇÃO E NIVELAMENTO DAS UNIDADES CONDENSADORAS E RECOMPOSIÇÃO DE CALÇADA, NAS ÁREAS AFETADAS PELA OBRA</c:v>
                </c:pt>
                <c:pt idx="43">
                  <c:v>ELABORAÇÃO DO PROGRAMA DE CONDIÇÕES E MEIO AMBIENTE (PCMAT)</c:v>
                </c:pt>
                <c:pt idx="44">
                  <c:v>ESCAVAÇÃO MANUAL DE SOLO PARA IMPLANTAÇÃO DA CANALETA DE CONCRETO E BASE DE SUPORTAÇÃO E NIVELAMENTO DAS UNIDADES CONDENSADORAS, INCLUSIVE FORNECIMENTO E PLANTIO DE FORRAÇÃO NAS ÁREAS AFETADAS</c:v>
                </c:pt>
                <c:pt idx="45">
                  <c:v>TREINAMENTO PARA OPERAÇÃO DO SISTEMA, MINISTRADO POR PROFISSIONAL HABILITADO A 02 SERVIDORES/PROFISSIONAIS DO FÓRUM</c:v>
                </c:pt>
                <c:pt idx="46">
                  <c:v>ELABORAÇÃO DO PLANO DE GERENCIAMENTO DE RESÍDUOS DA CONSTRUÇÃO CIVIL (PGRCC)</c:v>
                </c:pt>
                <c:pt idx="47">
                  <c:v>FORNECIMENTO E INSTALAÇÃO DE KIT REFNET de derivação Modelo KHRP26A22T, fabricação Daikin ou equivalente</c:v>
                </c:pt>
                <c:pt idx="48">
                  <c:v>FORNECIMENTO E INSTALAÇÃO de Porta de Inspeção para Duto, Pré-Fabricada, Dimensões 250x120mm, fabricação Refrin ou equivalente</c:v>
                </c:pt>
                <c:pt idx="49">
                  <c:v>MONTAGEM E DESMONTAGEM DE ANDAIME TIPO TORRE </c:v>
                </c:pt>
                <c:pt idx="50">
                  <c:v>FORNECIMENTO E INSTALAÇÃO DE CABO DE COBRE FLEXÍVEL ISOLADO, 2,5 mm², ANTI-CHAMA, NÃO HALOGENADO, ISOLAMENTO 750V </c:v>
                </c:pt>
                <c:pt idx="51">
                  <c:v>PLACA DE OBRA EM CHAPA DE AÇO GALVANIZADO, FORNECIMENTO E INSTALAÇÃO</c:v>
                </c:pt>
                <c:pt idx="52">
                  <c:v>ARMAÇÃO DAS BASES DE NIVELAMENTO E VALAS DE PASSSAGEM UTILIZANDO AÇO CA-50 DE 12,5MM, PARA ARMAÇÃO DAS BASES DE CONCRETO</c:v>
                </c:pt>
                <c:pt idx="53">
                  <c:v>FORNECIMENTO E INSTALAÇÃO DE TUBULAÇÃO DE COBRE RÍGIDO, INCLUSO CONEXÕES, Diâmetro 7/8", #1/16", COM ISOLAMENTO EM BORRACHA ELASTOMÉRICA</c:v>
                </c:pt>
                <c:pt idx="54">
                  <c:v>FORNECIMENTO E INSTALAÇÃO DE CABO DE COBRE FLEXÍVEL ISOLADO, 25,0 mm², ANTI-CHAMA, NÃO HALOGENADO, ISOLAÇÃO HEPR, 1,00kV</c:v>
                </c:pt>
                <c:pt idx="55">
                  <c:v>FORNECIMENTO E INSTALAÇÃO DE KIT REFNET de derivação Modelo KHRP26A33T, fabaricação Daikin ou equivalente</c:v>
                </c:pt>
                <c:pt idx="56">
                  <c:v>ANOTAÇÕES DE RESPONSABILIDADE TÉCNICA DE EXECUÇÃO DO PROJETO</c:v>
                </c:pt>
                <c:pt idx="57">
                  <c:v>DISJUNTOR TRIPOLAR EM CAIXA MOLDADA, 125,00A, Icc = 18kA - FORNECIMENTO E INSTALAÇÃO</c:v>
                </c:pt>
                <c:pt idx="58">
                  <c:v>REMOÇÃO E ARMAZENAMENTO DE ENTULHOS DA OBRA COM CAÇAMBA METÁLICA (4,00m³), ABRANGENDO RESÍDUOS METÁLICOS, PLÁSTICOS, MADEIRA, PAPEL CONCRETO, ARGAMASSA, TERRA E/OU ALVENARIA, INCLUSIVE TRANSPORTE AO LOCAL DE DESPEJO/DESTINAÇÃO</c:v>
                </c:pt>
                <c:pt idx="59">
                  <c:v>APLICAÇÃO DE FUNDO SELADOR ACRÍLICO EM PAREDES E TETO, UMA DEMÃO, PARA ACABAMENTO DAS ÁREAS RECONSTITUÍDAS</c:v>
                </c:pt>
                <c:pt idx="60">
                  <c:v>REMOÇÃO DE FORRO DE GESSO, DE FORMA MANUAL, SEM REAPROVEITAMENTO. AF_09/2023</c:v>
                </c:pt>
                <c:pt idx="61">
                  <c:v>FORNECIMENTO E INSTALAÇÃO DE TUBULAÇÃO DE COBRE RÍGIDO, INCLUSO CONEXÕES, Diâmetro 1", #1/16", COM ISOLAMENTO EM BORRACHA ELASTOMÉRICA</c:v>
                </c:pt>
                <c:pt idx="62">
                  <c:v>LIMPEZA FINAL DA OBRA ( INCLUSIVE DURANTE A EXECUÇÃO).</c:v>
                </c:pt>
                <c:pt idx="63">
                  <c:v>LIGAÇÃO TERMINAL FLEXÍVEL DE FORÇA E SINAL DAS UNIDADES EVAPORADORAS E CAIXAS DE VENTILAÇÃO, POR SEALTUBE FLEXÍVEL EM AÇO GALVANIZADO, REVESTIMENTO EM PVC", D.N. 3/4", INCLUSO CONECTOR GIRATÓRIO</c:v>
                </c:pt>
                <c:pt idx="64">
                  <c:v>PINTURA ANTICORROSIVA E DE ACABAMENTO DOS ELETRODUTOS, TUBULAÇÕES, PERFILADOS, LINHAS RECHAPEADAS E DEMAIS ELEMENTOS METÁLICOS APARENTES</c:v>
                </c:pt>
                <c:pt idx="65">
                  <c:v>FORNECIMENTO E INSTALAÇÃO DE TUBULAÇÃO DE COBRE RÍGIDO, INCLUSO CONEXÕES, Diâmetro 1/2", #1/16", COM ISOLAMENTO EM BORRACHA ELASTOMÉRICA</c:v>
                </c:pt>
                <c:pt idx="66">
                  <c:v>MASSA ÚNICA, PARA RECEBIMENTO DE PINTURA OU CERÂMICA, EM ARGAMASSA INDUSTRIALIZADA, PREPARO MECÂNICO, APLICADO COM EQUIPAMENTO DE MISTURA E PROJEÇÃO DE 1,5 M3/H DE ARGAMASSA EM FACES INTERNAS DE PAREDES, #10MM, PARA RECOMPOSIÇÃO/ACABAMENTO DAS ÁREAS DE ABE</c:v>
                </c:pt>
                <c:pt idx="67">
                  <c:v>CALÇO DE NEOPRENE, 100x100x25mm, COMO ELEMENTO INTERMEDIÁRIO/AMORTECEDOR À SUPORTAÇÃO DAS UNIDADES CONDENSADORAS</c:v>
                </c:pt>
                <c:pt idx="68">
                  <c:v>FORNECIMENTO E INSTALAÇÃO de Damper de Regulagem, Mod. JN-B, Dimensões 200x250mm, fabricação Trox ou equivalente</c:v>
                </c:pt>
                <c:pt idx="69">
                  <c:v>FORNECIMENTO E INSTALAÇÃO DE MANTA DE ALUMÍNIO LISO para Rechapeamento, Incluso Cintas Metálicas e Acessórios de Fixação</c:v>
                </c:pt>
                <c:pt idx="70">
                  <c:v>FORNECIMENTO E INSTALAÇÃO de Veneziana para Tomada de Ar Externo, Mod. AWG, Dimensões 397x197mm, fabricação Trox ou equivalente</c:v>
                </c:pt>
                <c:pt idx="71">
                  <c:v>RASGO EM ALVENARIA, PARA INSTALAÇÃO DAS CAIXAS DE LIGAÇÃO DAS UNIDADES EVAPORADORAS</c:v>
                </c:pt>
                <c:pt idx="72">
                  <c:v>FURAÇÃO/ABERTURA EM ALVENARIA PARA PASSAGEM DA INFRAESTRUTURA ELETROMECÂNICA/TOMADAS DE AR EXTERNO</c:v>
                </c:pt>
                <c:pt idx="73">
                  <c:v>LIGAÇÃO TERMINAL FLEXÍVEL DE FORÇA E SINAL DAS UNIDADES CONDENSADORAS, POR SEALTUBE FLEXÍVEL EM AÇO GALVANIZADO, REVESTIMENTO EM PVC", D.N. 1", INCLUSO CONECTOR GIRATÓRIO</c:v>
                </c:pt>
                <c:pt idx="74">
                  <c:v>FORNECIMENTO E INSTALAÇÃO DO CONJUNTO DE SUPORTAÇÃO DO GABINETE DE VENTILAÇÃO</c:v>
                </c:pt>
              </c:strCache>
            </c:strRef>
          </c:cat>
          <c:val>
            <c:numRef>
              <c:f>'Curva ABC de Insumos'!$J$39:$J$113</c:f>
              <c:numCache>
                <c:formatCode>0.00%</c:formatCode>
                <c:ptCount val="75"/>
                <c:pt idx="0">
                  <c:v>0.14331406084003409</c:v>
                </c:pt>
                <c:pt idx="1">
                  <c:v>0.26836816673893765</c:v>
                </c:pt>
                <c:pt idx="2">
                  <c:v>0.37202774173245107</c:v>
                </c:pt>
                <c:pt idx="3">
                  <c:v>0.4678608117322674</c:v>
                </c:pt>
                <c:pt idx="4">
                  <c:v>0.51402303373533831</c:v>
                </c:pt>
                <c:pt idx="5">
                  <c:v>0.55906490904473827</c:v>
                </c:pt>
                <c:pt idx="6">
                  <c:v>0.60138398348415467</c:v>
                </c:pt>
                <c:pt idx="7">
                  <c:v>0.63296074010013514</c:v>
                </c:pt>
                <c:pt idx="8">
                  <c:v>0.66408334997276186</c:v>
                </c:pt>
                <c:pt idx="9">
                  <c:v>0.69216610271323109</c:v>
                </c:pt>
                <c:pt idx="10">
                  <c:v>0.71285269564434672</c:v>
                </c:pt>
                <c:pt idx="11">
                  <c:v>0.73238882031837504</c:v>
                </c:pt>
                <c:pt idx="12">
                  <c:v>0.75146951475201085</c:v>
                </c:pt>
                <c:pt idx="13">
                  <c:v>0.76741844391743397</c:v>
                </c:pt>
                <c:pt idx="14">
                  <c:v>0.78260221388617024</c:v>
                </c:pt>
                <c:pt idx="15">
                  <c:v>0.7966191388254763</c:v>
                </c:pt>
                <c:pt idx="16">
                  <c:v>0.81034004710596552</c:v>
                </c:pt>
                <c:pt idx="17">
                  <c:v>0.82229877893940528</c:v>
                </c:pt>
                <c:pt idx="18">
                  <c:v>0.83240792655277507</c:v>
                </c:pt>
                <c:pt idx="19">
                  <c:v>0.84204594951892375</c:v>
                </c:pt>
                <c:pt idx="20">
                  <c:v>0.85129102742963103</c:v>
                </c:pt>
                <c:pt idx="21">
                  <c:v>0.86047371763617497</c:v>
                </c:pt>
                <c:pt idx="22">
                  <c:v>0.86941660510484098</c:v>
                </c:pt>
                <c:pt idx="23">
                  <c:v>0.87803041368084322</c:v>
                </c:pt>
                <c:pt idx="24">
                  <c:v>0.8855006101484969</c:v>
                </c:pt>
                <c:pt idx="25">
                  <c:v>0.89292864617544643</c:v>
                </c:pt>
                <c:pt idx="26">
                  <c:v>0.89945076074819053</c:v>
                </c:pt>
                <c:pt idx="27">
                  <c:v>0.905137546203862</c:v>
                </c:pt>
                <c:pt idx="28">
                  <c:v>0.9107557701721456</c:v>
                </c:pt>
                <c:pt idx="29">
                  <c:v>0.9161562058137861</c:v>
                </c:pt>
                <c:pt idx="30">
                  <c:v>0.92137264646853856</c:v>
                </c:pt>
                <c:pt idx="31">
                  <c:v>0.92616119520543938</c:v>
                </c:pt>
                <c:pt idx="32">
                  <c:v>0.93049307894530275</c:v>
                </c:pt>
                <c:pt idx="33">
                  <c:v>0.9344773949364249</c:v>
                </c:pt>
                <c:pt idx="34">
                  <c:v>0.93836785317573668</c:v>
                </c:pt>
                <c:pt idx="35">
                  <c:v>0.9421624715538871</c:v>
                </c:pt>
                <c:pt idx="36">
                  <c:v>0.9458470341226618</c:v>
                </c:pt>
                <c:pt idx="37">
                  <c:v>0.94951892418902839</c:v>
                </c:pt>
                <c:pt idx="38">
                  <c:v>0.95307518579431927</c:v>
                </c:pt>
                <c:pt idx="39">
                  <c:v>0.95640015798386291</c:v>
                </c:pt>
                <c:pt idx="40">
                  <c:v>0.95943546601259178</c:v>
                </c:pt>
                <c:pt idx="41">
                  <c:v>0.96214564312056106</c:v>
                </c:pt>
                <c:pt idx="42">
                  <c:v>0.96483608036900981</c:v>
                </c:pt>
                <c:pt idx="43">
                  <c:v>0.9674815464807075</c:v>
                </c:pt>
                <c:pt idx="44">
                  <c:v>0.96980626830709449</c:v>
                </c:pt>
                <c:pt idx="45">
                  <c:v>0.97210912194342847</c:v>
                </c:pt>
                <c:pt idx="46">
                  <c:v>0.97431368245210925</c:v>
                </c:pt>
                <c:pt idx="47">
                  <c:v>0.97642303672474906</c:v>
                </c:pt>
                <c:pt idx="48">
                  <c:v>0.97845973531691532</c:v>
                </c:pt>
                <c:pt idx="49">
                  <c:v>0.98044030122213244</c:v>
                </c:pt>
                <c:pt idx="50">
                  <c:v>0.98203996094919599</c:v>
                </c:pt>
                <c:pt idx="51">
                  <c:v>0.98362122930096973</c:v>
                </c:pt>
                <c:pt idx="52">
                  <c:v>0.98511999641270664</c:v>
                </c:pt>
                <c:pt idx="53">
                  <c:v>0.98637951317769623</c:v>
                </c:pt>
                <c:pt idx="54">
                  <c:v>0.98760744616745311</c:v>
                </c:pt>
                <c:pt idx="55">
                  <c:v>0.98869664774943633</c:v>
                </c:pt>
                <c:pt idx="56">
                  <c:v>0.9897787169871155</c:v>
                </c:pt>
                <c:pt idx="57">
                  <c:v>0.9908577643203742</c:v>
                </c:pt>
                <c:pt idx="58">
                  <c:v>0.99193338357926353</c:v>
                </c:pt>
                <c:pt idx="59">
                  <c:v>0.99297399098855077</c:v>
                </c:pt>
                <c:pt idx="60">
                  <c:v>0.9939846230556032</c:v>
                </c:pt>
                <c:pt idx="61">
                  <c:v>0.99480547627569416</c:v>
                </c:pt>
                <c:pt idx="62">
                  <c:v>0.99544884947487877</c:v>
                </c:pt>
                <c:pt idx="63">
                  <c:v>0.99605249925305317</c:v>
                </c:pt>
                <c:pt idx="64">
                  <c:v>0.99662276186142129</c:v>
                </c:pt>
                <c:pt idx="65">
                  <c:v>0.99718516101957722</c:v>
                </c:pt>
                <c:pt idx="66">
                  <c:v>0.99762211865069006</c:v>
                </c:pt>
                <c:pt idx="67">
                  <c:v>0.99805551823304983</c:v>
                </c:pt>
                <c:pt idx="68">
                  <c:v>0.99845814638007491</c:v>
                </c:pt>
                <c:pt idx="69">
                  <c:v>0.99882948319423059</c:v>
                </c:pt>
                <c:pt idx="70">
                  <c:v>0.9991930052985678</c:v>
                </c:pt>
                <c:pt idx="71">
                  <c:v>0.99955514642507848</c:v>
                </c:pt>
                <c:pt idx="72">
                  <c:v>0.9998133242914482</c:v>
                </c:pt>
                <c:pt idx="73">
                  <c:v>0.99996622290704229</c:v>
                </c:pt>
                <c:pt idx="74">
                  <c:v>0.99999999999999944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F-46E7-953E-25AA6371A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73728"/>
        <c:axId val="203275264"/>
      </c:lineChart>
      <c:catAx>
        <c:axId val="20327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3275264"/>
        <c:crosses val="autoZero"/>
        <c:auto val="1"/>
        <c:lblAlgn val="ctr"/>
        <c:lblOffset val="100"/>
        <c:noMultiLvlLbl val="0"/>
      </c:catAx>
      <c:valAx>
        <c:axId val="2032752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03273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8488C4"/>
        </a:gs>
        <a:gs pos="53000">
          <a:srgbClr val="D4DEFF"/>
        </a:gs>
        <a:gs pos="83000">
          <a:srgbClr val="D4DEFF"/>
        </a:gs>
        <a:gs pos="100000">
          <a:srgbClr val="96AB94"/>
        </a:gs>
      </a:gsLst>
      <a:lin ang="5400000" scaled="0"/>
    </a:gradFill>
    <a:ln w="25400">
      <a:gradFill>
        <a:gsLst>
          <a:gs pos="0">
            <a:schemeClr val="accent1">
              <a:lumMod val="40000"/>
              <a:lumOff val="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glow rad="127000">
        <a:schemeClr val="tx2">
          <a:lumMod val="20000"/>
          <a:lumOff val="80000"/>
        </a:schemeClr>
      </a:glow>
    </a:effectLst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3" name="Imagem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4" name="Imagem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5" name="Imagem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6" name="Imagem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7" name="Image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8" name="Imagem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9" name="Imagem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1" name="Imagem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2" name="Imagem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3" name="Imagem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4" name="Imagem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5" name="Imagem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6" name="Imagem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7" name="Imagem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" name="Imagem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" name="Imagem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0" name="Imagem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1" name="Imagem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2" name="Imagem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3" name="Imagem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4" name="Imagem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5" name="Imagem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6" name="Imagem 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7" name="Imagem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8" name="Imagem 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9" name="Imagem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30" name="Imagem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31" name="Imagem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32" name="Imagem 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33" name="Imagem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34" name="Imagem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104775</xdr:rowOff>
    </xdr:from>
    <xdr:to>
      <xdr:col>1</xdr:col>
      <xdr:colOff>378732</xdr:colOff>
      <xdr:row>0</xdr:row>
      <xdr:rowOff>857250</xdr:rowOff>
    </xdr:to>
    <xdr:pic>
      <xdr:nvPicPr>
        <xdr:cNvPr id="35" name="Imagem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82640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72" name="Imagem 9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73" name="Imagem 9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74" name="Imagem 9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75" name="Imagem 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76" name="Imagem 9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77" name="Imagem 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78" name="Imagem 9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79" name="Imagem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0" name="Imagem 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1" name="Imagem 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2" name="Imagem 9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3" name="Imagem 9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4" name="Imagem 9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5" name="Imagem 9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6" name="Imagem 9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7" name="Imagem 9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8" name="Imagem 9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89" name="Imagem 9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0" name="Imagem 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1" name="Imagem 9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2" name="Imagem 9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3" name="Imagem 9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4" name="Imagem 9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5" name="Imagem 9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6" name="Imagem 9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7" name="Imagem 9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8" name="Imagem 9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199" name="Imagem 9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00" name="Imagem 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01" name="Imagem 9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02" name="Imagem 9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03" name="Imagem 9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378732</xdr:colOff>
      <xdr:row>0</xdr:row>
      <xdr:rowOff>857250</xdr:rowOff>
    </xdr:to>
    <xdr:pic>
      <xdr:nvPicPr>
        <xdr:cNvPr id="204" name="Imagem 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104775</xdr:rowOff>
    </xdr:from>
    <xdr:to>
      <xdr:col>1</xdr:col>
      <xdr:colOff>378732</xdr:colOff>
      <xdr:row>0</xdr:row>
      <xdr:rowOff>857250</xdr:rowOff>
    </xdr:to>
    <xdr:pic>
      <xdr:nvPicPr>
        <xdr:cNvPr id="205" name="Imagem 9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831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27" name="Imagem 9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28" name="Imagem 9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29" name="Imagem 9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0" name="Imagem 9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1" name="Imagem 9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2" name="Imagem 9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3" name="Imagem 9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4" name="Imagem 9">
          <a:extLst>
            <a:ext uri="{FF2B5EF4-FFF2-40B4-BE49-F238E27FC236}">
              <a16:creationId xmlns:a16="http://schemas.microsoft.com/office/drawing/2014/main" id="{00000000-0008-0000-0200-00000A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5" name="Imagem 9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6" name="Imagem 9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7" name="Imagem 9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8" name="Imagem 9">
          <a:extLst>
            <a:ext uri="{FF2B5EF4-FFF2-40B4-BE49-F238E27FC236}">
              <a16:creationId xmlns:a16="http://schemas.microsoft.com/office/drawing/2014/main" id="{00000000-0008-0000-0200-00000E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39" name="Imagem 9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0" name="Imagem 9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1" name="Imagem 9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2" name="Imagem 9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3" name="Imagem 9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4" name="Imagem 9">
          <a:extLst>
            <a:ext uri="{FF2B5EF4-FFF2-40B4-BE49-F238E27FC236}">
              <a16:creationId xmlns:a16="http://schemas.microsoft.com/office/drawing/2014/main" id="{00000000-0008-0000-0200-00001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5" name="Imagem 9">
          <a:extLst>
            <a:ext uri="{FF2B5EF4-FFF2-40B4-BE49-F238E27FC236}">
              <a16:creationId xmlns:a16="http://schemas.microsoft.com/office/drawing/2014/main" id="{00000000-0008-0000-0200-00001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6" name="Imagem 9">
          <a:extLst>
            <a:ext uri="{FF2B5EF4-FFF2-40B4-BE49-F238E27FC236}">
              <a16:creationId xmlns:a16="http://schemas.microsoft.com/office/drawing/2014/main" id="{00000000-0008-0000-0200-000016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7" name="Imagem 9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8" name="Imagem 9">
          <a:extLst>
            <a:ext uri="{FF2B5EF4-FFF2-40B4-BE49-F238E27FC236}">
              <a16:creationId xmlns:a16="http://schemas.microsoft.com/office/drawing/2014/main" id="{00000000-0008-0000-0200-000018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49" name="Imagem 9">
          <a:extLst>
            <a:ext uri="{FF2B5EF4-FFF2-40B4-BE49-F238E27FC236}">
              <a16:creationId xmlns:a16="http://schemas.microsoft.com/office/drawing/2014/main" id="{00000000-0008-0000-0200-000019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0" name="Imagem 9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1" name="Imagem 9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2" name="Imagem 9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3" name="Imagem 9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4" name="Imagem 9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5" name="Imagem 9">
          <a:extLst>
            <a:ext uri="{FF2B5EF4-FFF2-40B4-BE49-F238E27FC236}">
              <a16:creationId xmlns:a16="http://schemas.microsoft.com/office/drawing/2014/main" id="{00000000-0008-0000-0200-00001F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6" name="Imagem 9">
          <a:extLst>
            <a:ext uri="{FF2B5EF4-FFF2-40B4-BE49-F238E27FC236}">
              <a16:creationId xmlns:a16="http://schemas.microsoft.com/office/drawing/2014/main" id="{00000000-0008-0000-0200-000020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7" name="Imagem 9">
          <a:extLst>
            <a:ext uri="{FF2B5EF4-FFF2-40B4-BE49-F238E27FC236}">
              <a16:creationId xmlns:a16="http://schemas.microsoft.com/office/drawing/2014/main" id="{00000000-0008-0000-0200-00002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8" name="Imagem 9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95250</xdr:rowOff>
    </xdr:from>
    <xdr:to>
      <xdr:col>1</xdr:col>
      <xdr:colOff>193675</xdr:colOff>
      <xdr:row>0</xdr:row>
      <xdr:rowOff>857250</xdr:rowOff>
    </xdr:to>
    <xdr:pic>
      <xdr:nvPicPr>
        <xdr:cNvPr id="1059" name="Imagem 9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82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104775</xdr:rowOff>
    </xdr:from>
    <xdr:to>
      <xdr:col>1</xdr:col>
      <xdr:colOff>193675</xdr:colOff>
      <xdr:row>0</xdr:row>
      <xdr:rowOff>857250</xdr:rowOff>
    </xdr:to>
    <xdr:pic>
      <xdr:nvPicPr>
        <xdr:cNvPr id="1060" name="Imagem 9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8382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123825</xdr:rowOff>
    </xdr:from>
    <xdr:to>
      <xdr:col>0</xdr:col>
      <xdr:colOff>1447800</xdr:colOff>
      <xdr:row>5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3825"/>
          <a:ext cx="10477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104776</xdr:rowOff>
    </xdr:from>
    <xdr:to>
      <xdr:col>38</xdr:col>
      <xdr:colOff>145142</xdr:colOff>
      <xdr:row>34</xdr:row>
      <xdr:rowOff>108858</xdr:rowOff>
    </xdr:to>
    <xdr:graphicFrame macro="">
      <xdr:nvGraphicFramePr>
        <xdr:cNvPr id="2" name="Gráfico 1" title="Curva ABC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37" name="Imagem 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38" name="Imagem 9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39" name="Imagem 9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0" name="Imagem 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1" name="Imagem 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2" name="Imagem 9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3" name="Imagem 9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4" name="Imagem 9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5" name="Imagem 9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6" name="Imagem 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7" name="Imagem 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8" name="Imagem 9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49" name="Imagem 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0" name="Imagem 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1" name="Imagem 9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2" name="Imagem 9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3" name="Imagem 9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4" name="Imagem 9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5" name="Imagem 9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6" name="Imagem 9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7" name="Imagem 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8" name="Imagem 9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59" name="Imagem 9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0" name="Imagem 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1" name="Imagem 9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2" name="Imagem 9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3" name="Imagem 9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4" name="Imagem 9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5" name="Imagem 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6" name="Imagem 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7" name="Imagem 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8" name="Imagem 9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832757</xdr:colOff>
      <xdr:row>0</xdr:row>
      <xdr:rowOff>857250</xdr:rowOff>
    </xdr:to>
    <xdr:pic>
      <xdr:nvPicPr>
        <xdr:cNvPr id="69" name="Imagem 9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2640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104775</xdr:rowOff>
    </xdr:from>
    <xdr:to>
      <xdr:col>2</xdr:col>
      <xdr:colOff>832757</xdr:colOff>
      <xdr:row>0</xdr:row>
      <xdr:rowOff>857250</xdr:rowOff>
    </xdr:to>
    <xdr:pic>
      <xdr:nvPicPr>
        <xdr:cNvPr id="70" name="Imagem 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82640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71" name="Imagem 9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72" name="Imagem 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73" name="Imagem 9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74" name="Imagem 9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75" name="Imagem 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76" name="Imagem 9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77" name="Imagem 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78" name="Imagem 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79" name="Imagem 9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0" name="Imagem 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1" name="Imagem 9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2" name="Imagem 9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3" name="Imagem 9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4" name="Imagem 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5" name="Imagem 9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6" name="Imagem 9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7" name="Imagem 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8" name="Imagem 9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89" name="Imagem 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0" name="Imagem 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1" name="Imagem 9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2" name="Imagem 9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3" name="Imagem 9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4" name="Imagem 9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5" name="Imagem 9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6" name="Imagem 9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7" name="Imagem 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8" name="Imagem 9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99" name="Imagem 9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100" name="Imagem 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101" name="Imagem 9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102" name="Imagem 9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209550</xdr:colOff>
      <xdr:row>0</xdr:row>
      <xdr:rowOff>95250</xdr:rowOff>
    </xdr:from>
    <xdr:to>
      <xdr:col>2</xdr:col>
      <xdr:colOff>838200</xdr:colOff>
      <xdr:row>0</xdr:row>
      <xdr:rowOff>857250</xdr:rowOff>
    </xdr:to>
    <xdr:pic>
      <xdr:nvPicPr>
        <xdr:cNvPr id="103" name="Imagem 9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8318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</xdr:colOff>
      <xdr:row>0</xdr:row>
      <xdr:rowOff>104775</xdr:rowOff>
    </xdr:from>
    <xdr:to>
      <xdr:col>2</xdr:col>
      <xdr:colOff>838200</xdr:colOff>
      <xdr:row>0</xdr:row>
      <xdr:rowOff>857250</xdr:rowOff>
    </xdr:to>
    <xdr:pic>
      <xdr:nvPicPr>
        <xdr:cNvPr id="104" name="Imagem 9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104775"/>
          <a:ext cx="831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1501076</xdr:colOff>
      <xdr:row>8</xdr:row>
      <xdr:rowOff>88339</xdr:rowOff>
    </xdr:from>
    <xdr:ext cx="1888274" cy="254493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501076" y="1955239"/>
          <a:ext cx="1888274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Câmara Municipal de Piedade</a:t>
          </a:r>
        </a:p>
      </xdr:txBody>
    </xdr:sp>
    <xdr:clientData/>
  </xdr:oneCellAnchor>
  <xdr:twoCellAnchor editAs="oneCell">
    <xdr:from>
      <xdr:col>2</xdr:col>
      <xdr:colOff>1511300</xdr:colOff>
      <xdr:row>4</xdr:row>
      <xdr:rowOff>86047</xdr:rowOff>
    </xdr:from>
    <xdr:to>
      <xdr:col>2</xdr:col>
      <xdr:colOff>2476500</xdr:colOff>
      <xdr:row>8</xdr:row>
      <xdr:rowOff>67159</xdr:rowOff>
    </xdr:to>
    <xdr:pic>
      <xdr:nvPicPr>
        <xdr:cNvPr id="3" name="Imagem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3050" y="1000447"/>
          <a:ext cx="965200" cy="914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1349375</xdr:colOff>
      <xdr:row>8</xdr:row>
      <xdr:rowOff>82550</xdr:rowOff>
    </xdr:from>
    <xdr:ext cx="1285224" cy="254493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731125" y="1930400"/>
          <a:ext cx="1285224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Wind Service Ltda.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1685925</xdr:colOff>
          <xdr:row>4</xdr:row>
          <xdr:rowOff>190500</xdr:rowOff>
        </xdr:from>
        <xdr:to>
          <xdr:col>0</xdr:col>
          <xdr:colOff>3124200</xdr:colOff>
          <xdr:row>7</xdr:row>
          <xdr:rowOff>76200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A36E-3E52-4777-A816-E5184339FE4E}">
  <sheetPr>
    <pageSetUpPr fitToPage="1"/>
  </sheetPr>
  <dimension ref="A1:T101"/>
  <sheetViews>
    <sheetView tabSelected="1" zoomScale="50" zoomScaleNormal="50" workbookViewId="0">
      <selection activeCell="U10" sqref="U10"/>
    </sheetView>
  </sheetViews>
  <sheetFormatPr defaultRowHeight="15" x14ac:dyDescent="0.25"/>
  <cols>
    <col min="1" max="1" width="9.85546875" customWidth="1"/>
    <col min="2" max="2" width="7.85546875" bestFit="1" customWidth="1"/>
    <col min="3" max="3" width="9.140625" style="9" customWidth="1"/>
    <col min="4" max="4" width="203.5703125" customWidth="1"/>
    <col min="5" max="5" width="13.85546875" customWidth="1"/>
    <col min="6" max="6" width="19.5703125" customWidth="1"/>
    <col min="7" max="12" width="30.42578125" hidden="1" customWidth="1"/>
    <col min="13" max="13" width="14" hidden="1" customWidth="1"/>
    <col min="14" max="14" width="30.42578125" hidden="1" customWidth="1"/>
    <col min="15" max="15" width="14" hidden="1" customWidth="1"/>
    <col min="16" max="16" width="30.42578125" hidden="1" customWidth="1"/>
    <col min="17" max="17" width="37.28515625" customWidth="1"/>
    <col min="18" max="19" width="30.42578125" hidden="1" customWidth="1"/>
    <col min="20" max="20" width="37" customWidth="1"/>
    <col min="21" max="21" width="22.28515625" customWidth="1"/>
    <col min="22" max="22" width="14.140625" customWidth="1"/>
    <col min="23" max="23" width="14.28515625" customWidth="1"/>
    <col min="24" max="24" width="12.42578125" customWidth="1"/>
  </cols>
  <sheetData>
    <row r="1" spans="1:20" ht="81.75" customHeight="1" thickBot="1" x14ac:dyDescent="0.3">
      <c r="A1" s="392" t="s">
        <v>406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4"/>
    </row>
    <row r="2" spans="1:20" ht="15.75" thickBot="1" x14ac:dyDescent="0.3">
      <c r="A2" s="395" t="str">
        <f>'Planilha de Composição'!A2:D2</f>
        <v>OBRA: Implantação de Sistemas de HVAC e Instalações Elétricas</v>
      </c>
      <c r="B2" s="396"/>
      <c r="C2" s="396"/>
      <c r="D2" s="397"/>
      <c r="E2" s="398" t="s">
        <v>20</v>
      </c>
      <c r="F2" s="399"/>
      <c r="G2" s="398"/>
      <c r="H2" s="400"/>
      <c r="I2" s="381"/>
      <c r="J2" s="381" t="str">
        <f>'Planilha de Composição'!I5</f>
        <v>BDI (Serviços I Mat.):</v>
      </c>
      <c r="K2" s="248">
        <f>'Planilha de Composição'!J5</f>
        <v>0.26838623884514634</v>
      </c>
      <c r="L2" s="273">
        <f>('Cálculo do BDI'!B34)/100</f>
        <v>0.2111176002216073</v>
      </c>
      <c r="M2" s="401"/>
      <c r="N2" s="402"/>
      <c r="O2" s="382"/>
      <c r="P2" s="382"/>
      <c r="Q2" s="398" t="s">
        <v>354</v>
      </c>
      <c r="R2" s="400"/>
      <c r="S2" s="382"/>
      <c r="T2" s="198" t="s">
        <v>0</v>
      </c>
    </row>
    <row r="3" spans="1:20" ht="15.75" thickBot="1" x14ac:dyDescent="0.3">
      <c r="A3" s="403" t="str">
        <f>'Planilha de Composição'!A3:D3</f>
        <v>CONTRATANTE: CÂMARA MUNICIPAL DE PIEDADE</v>
      </c>
      <c r="B3" s="404"/>
      <c r="C3" s="404"/>
      <c r="D3" s="405"/>
      <c r="E3" s="406" t="str">
        <f>'Planilha de Composição'!E3:S3</f>
        <v>UNIDADE: EDIFÍCIO SEDE</v>
      </c>
      <c r="F3" s="407" t="s">
        <v>1</v>
      </c>
      <c r="G3" s="407"/>
      <c r="H3" s="407"/>
      <c r="I3" s="407"/>
      <c r="J3" s="407" t="s">
        <v>1</v>
      </c>
      <c r="K3" s="407"/>
      <c r="L3" s="407"/>
      <c r="M3" s="407"/>
      <c r="N3" s="407"/>
      <c r="O3" s="407"/>
      <c r="P3" s="407"/>
      <c r="Q3" s="407"/>
      <c r="R3" s="407"/>
      <c r="S3" s="407"/>
      <c r="T3" s="408" t="s">
        <v>1</v>
      </c>
    </row>
    <row r="4" spans="1:20" ht="32.25" customHeight="1" thickBot="1" x14ac:dyDescent="0.3">
      <c r="A4" s="403" t="str">
        <f>'Planilha de Composição'!A4:D4</f>
        <v>ETAPA: EXECUTIVO</v>
      </c>
      <c r="B4" s="404"/>
      <c r="C4" s="404"/>
      <c r="D4" s="405"/>
      <c r="E4" s="409" t="str">
        <f>'Planilha de Composição'!E4:S4</f>
        <v>REF. PREÇO: SINAPI REF. 05/2024 - SÃO PAULO  I  CDHU - Planilha Versão 191.</v>
      </c>
      <c r="F4" s="410" t="s">
        <v>2</v>
      </c>
      <c r="G4" s="410"/>
      <c r="H4" s="410"/>
      <c r="I4" s="410"/>
      <c r="J4" s="410" t="s">
        <v>2</v>
      </c>
      <c r="K4" s="410"/>
      <c r="L4" s="410"/>
      <c r="M4" s="410"/>
      <c r="N4" s="410"/>
      <c r="O4" s="410"/>
      <c r="P4" s="410"/>
      <c r="Q4" s="410"/>
      <c r="R4" s="410"/>
      <c r="S4" s="410"/>
      <c r="T4" s="411" t="s">
        <v>2</v>
      </c>
    </row>
    <row r="5" spans="1:20" ht="15.75" customHeight="1" thickBot="1" x14ac:dyDescent="0.3">
      <c r="A5" s="403" t="str">
        <f>'Planilha de Composição'!A5:D5</f>
        <v>ENCARGOS SOCIAIS (DESONERADO): HORISTA: 85,80% I MENSALISTA: 47,74% (REF. SINAPI - 05/2024)</v>
      </c>
      <c r="B5" s="404"/>
      <c r="C5" s="404"/>
      <c r="D5" s="405"/>
      <c r="E5" s="406" t="str">
        <f>'Planilha de Composição'!E5:F5</f>
        <v>REVISÃO: 00</v>
      </c>
      <c r="F5" s="412"/>
      <c r="G5" s="97"/>
      <c r="H5" s="97"/>
      <c r="I5" s="407" t="s">
        <v>85</v>
      </c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8"/>
    </row>
    <row r="6" spans="1:20" ht="15.75" thickBot="1" x14ac:dyDescent="0.3">
      <c r="A6" s="52" t="s">
        <v>5</v>
      </c>
      <c r="B6" s="52" t="s">
        <v>6</v>
      </c>
      <c r="C6" s="53" t="s">
        <v>7</v>
      </c>
      <c r="D6" s="54" t="s">
        <v>3</v>
      </c>
      <c r="E6" s="52" t="s">
        <v>4</v>
      </c>
      <c r="F6" s="52" t="s">
        <v>19</v>
      </c>
      <c r="G6" s="52" t="str">
        <f>'Planilha de Composição'!H6</f>
        <v>Custo Unit. Mat.</v>
      </c>
      <c r="H6" s="52" t="str">
        <f>'Planilha de Composição'!I6</f>
        <v>Custo Unit. M.O</v>
      </c>
      <c r="I6" s="52" t="s">
        <v>63</v>
      </c>
      <c r="J6" s="52" t="str">
        <f>'Planilha de Composição'!K6</f>
        <v>Custo Total Mat.</v>
      </c>
      <c r="K6" s="52" t="str">
        <f>'Planilha de Composição'!L6</f>
        <v>Custo Total M.O</v>
      </c>
      <c r="L6" s="52" t="str">
        <f>'Planilha de Composição'!M6</f>
        <v>Custo Total</v>
      </c>
      <c r="M6" s="52" t="s">
        <v>64</v>
      </c>
      <c r="N6" s="52" t="str">
        <f>'Planilha de Composição'!O6</f>
        <v>Preço Unit. Mat.</v>
      </c>
      <c r="O6" s="52" t="s">
        <v>65</v>
      </c>
      <c r="P6" s="52" t="str">
        <f>'Planilha de Composição'!Q6</f>
        <v>Preço Unit. M.O</v>
      </c>
      <c r="Q6" s="52" t="s">
        <v>353</v>
      </c>
      <c r="R6" s="52" t="str">
        <f>'Planilha de Composição'!R6</f>
        <v>Preço Total Mat.</v>
      </c>
      <c r="S6" s="52" t="str">
        <f>'Planilha de Composição'!S6</f>
        <v>Preço Total M.O</v>
      </c>
      <c r="T6" s="52" t="str">
        <f>'Planilha de Composição'!T6</f>
        <v>Preço Total</v>
      </c>
    </row>
    <row r="7" spans="1:20" ht="15.75" thickBot="1" x14ac:dyDescent="0.3">
      <c r="A7" s="55">
        <f>'Planilha de Composição'!A7</f>
        <v>1</v>
      </c>
      <c r="B7" s="50"/>
      <c r="C7" s="51"/>
      <c r="D7" s="55" t="str">
        <f>'Planilha de Composição'!D7</f>
        <v>Serviços Preliminares e Instalações Provisórias</v>
      </c>
      <c r="E7" s="55"/>
      <c r="F7" s="71"/>
      <c r="G7" s="71"/>
      <c r="H7" s="71"/>
      <c r="I7" s="71"/>
      <c r="J7" s="69">
        <f>SUM(J8:J12)</f>
        <v>3000.8199999999997</v>
      </c>
      <c r="K7" s="69">
        <f>SUM(K8:K12)</f>
        <v>3104.38</v>
      </c>
      <c r="L7" s="70">
        <f>SUM(L8:L12)</f>
        <v>6105.2000000000007</v>
      </c>
      <c r="M7" s="75">
        <f t="shared" ref="M7:M16" si="0">$L$2</f>
        <v>0.2111176002216073</v>
      </c>
      <c r="N7" s="70"/>
      <c r="O7" s="75">
        <f t="shared" ref="O7:O16" si="1">$K$2</f>
        <v>0.26838623884514634</v>
      </c>
      <c r="P7" s="70"/>
      <c r="Q7" s="69"/>
      <c r="R7" s="69">
        <f>SUM(R8:R12)</f>
        <v>3634.36</v>
      </c>
      <c r="S7" s="69">
        <f>SUM(S8:S12)</f>
        <v>3937.54</v>
      </c>
      <c r="T7" s="69">
        <f>SUM(T8:T12)</f>
        <v>7571.9000000000005</v>
      </c>
    </row>
    <row r="8" spans="1:20" ht="15.75" thickBot="1" x14ac:dyDescent="0.3">
      <c r="A8" s="1" t="str">
        <f>'Planilha de Composição'!A8</f>
        <v>1.1</v>
      </c>
      <c r="B8" s="1" t="str">
        <f>'Planilha de Composição'!B8</f>
        <v>C.P</v>
      </c>
      <c r="C8" s="1">
        <f>'Planilha de Composição'!C8</f>
        <v>0</v>
      </c>
      <c r="D8" s="348" t="str">
        <f>'Planilha de Composição'!D8</f>
        <v>PLACA DE OBRA EM CHAPA DE AÇO GALVANIZADO, FORNECIMENTO E INSTALAÇÃO</v>
      </c>
      <c r="E8" s="1" t="str">
        <f>'Planilha de Composição'!E8</f>
        <v>m²</v>
      </c>
      <c r="F8" s="351">
        <v>2.0000000000000004</v>
      </c>
      <c r="G8" s="117">
        <f>'Planilha de Composição'!H8</f>
        <v>283.61</v>
      </c>
      <c r="H8" s="117">
        <f>'Planilha de Composição'!I8</f>
        <v>112.86</v>
      </c>
      <c r="I8" s="117">
        <f>H8+G8</f>
        <v>396.47</v>
      </c>
      <c r="J8" s="166">
        <f>ROUND(G8*$F8,2)</f>
        <v>567.22</v>
      </c>
      <c r="K8" s="166">
        <f>ROUND(H8*$F8,2)</f>
        <v>225.72</v>
      </c>
      <c r="L8" s="167">
        <f>K8+J8</f>
        <v>792.94</v>
      </c>
      <c r="M8" s="169">
        <f t="shared" si="0"/>
        <v>0.2111176002216073</v>
      </c>
      <c r="N8" s="167">
        <f>ROUND(G8*(1+$M8),2)</f>
        <v>343.49</v>
      </c>
      <c r="O8" s="169">
        <f t="shared" si="1"/>
        <v>0.26838623884514634</v>
      </c>
      <c r="P8" s="167">
        <f>ROUND(H8*(1+$O8),2)</f>
        <v>143.15</v>
      </c>
      <c r="Q8" s="168">
        <f>P8+N8</f>
        <v>486.64</v>
      </c>
      <c r="R8" s="168">
        <f>ROUND(N8*$F8,2)</f>
        <v>686.98</v>
      </c>
      <c r="S8" s="168">
        <f>ROUND(P8*$F8,2)</f>
        <v>286.3</v>
      </c>
      <c r="T8" s="168">
        <f>S8+R8</f>
        <v>973.28</v>
      </c>
    </row>
    <row r="9" spans="1:20" ht="15.75" thickBot="1" x14ac:dyDescent="0.3">
      <c r="A9" s="1" t="str">
        <f>'Planilha de Composição'!A16</f>
        <v>1.2</v>
      </c>
      <c r="B9" s="1" t="str">
        <f>'Planilha de Composição'!B16</f>
        <v>C.P</v>
      </c>
      <c r="C9" s="1">
        <f>'Planilha de Composição'!C16</f>
        <v>0</v>
      </c>
      <c r="D9" s="348" t="str">
        <f>'Planilha de Composição'!D16</f>
        <v>ANOTAÇÕES DE RESPONSABILIDADE TÉCNICA DE EXECUÇÃO DO PROJETO</v>
      </c>
      <c r="E9" s="1" t="str">
        <f>'Planilha de Composição'!E16</f>
        <v>un</v>
      </c>
      <c r="F9" s="351">
        <v>2.0000000000000004</v>
      </c>
      <c r="G9" s="190">
        <f>'Planilha de Composição'!H16</f>
        <v>0</v>
      </c>
      <c r="H9" s="190">
        <f>'Planilha de Composição'!I16</f>
        <v>262.55</v>
      </c>
      <c r="I9" s="117">
        <f>H9+G9</f>
        <v>262.55</v>
      </c>
      <c r="J9" s="166">
        <f t="shared" ref="J9:K12" si="2">ROUND(G9*$F9,2)</f>
        <v>0</v>
      </c>
      <c r="K9" s="166">
        <f t="shared" si="2"/>
        <v>525.1</v>
      </c>
      <c r="L9" s="167">
        <f>K9+J9</f>
        <v>525.1</v>
      </c>
      <c r="M9" s="169">
        <f t="shared" si="0"/>
        <v>0.2111176002216073</v>
      </c>
      <c r="N9" s="167">
        <f>ROUND(G9*(1+$M9),2)</f>
        <v>0</v>
      </c>
      <c r="O9" s="169">
        <f t="shared" si="1"/>
        <v>0.26838623884514634</v>
      </c>
      <c r="P9" s="167">
        <f>ROUND(H9*(1+$O9),2)</f>
        <v>333.01</v>
      </c>
      <c r="Q9" s="168">
        <f>P9+N9</f>
        <v>333.01</v>
      </c>
      <c r="R9" s="168">
        <f>ROUND(N9*$F9,2)</f>
        <v>0</v>
      </c>
      <c r="S9" s="168">
        <f>ROUND(P9*$F9,2)</f>
        <v>666.02</v>
      </c>
      <c r="T9" s="168">
        <f>S9+R9</f>
        <v>666.02</v>
      </c>
    </row>
    <row r="10" spans="1:20" ht="15.75" thickBot="1" x14ac:dyDescent="0.3">
      <c r="A10" s="1" t="str">
        <f>'Planilha de Composição'!A18</f>
        <v>1.3</v>
      </c>
      <c r="B10" s="1" t="str">
        <f>'Planilha de Composição'!B18</f>
        <v>C.P</v>
      </c>
      <c r="C10" s="1">
        <f>'Planilha de Composição'!C18</f>
        <v>0</v>
      </c>
      <c r="D10" s="348" t="str">
        <f>'Planilha de Composição'!D18</f>
        <v>ELABORAÇÃO DO PLANO DE GERENCIAMENTO DE RESÍDUOS DA CONSTRUÇÃO CIVIL (PGRCC)</v>
      </c>
      <c r="E10" s="1" t="str">
        <f>'Planilha de Composição'!E18</f>
        <v>un</v>
      </c>
      <c r="F10" s="351">
        <v>1.0000000000000002</v>
      </c>
      <c r="G10" s="190">
        <f>'Planilha de Composição'!H18</f>
        <v>0</v>
      </c>
      <c r="H10" s="190">
        <f>'Planilha de Composição'!I18</f>
        <v>1069.8</v>
      </c>
      <c r="I10" s="117">
        <f>H10+G10</f>
        <v>1069.8</v>
      </c>
      <c r="J10" s="166">
        <f t="shared" si="2"/>
        <v>0</v>
      </c>
      <c r="K10" s="166">
        <f t="shared" si="2"/>
        <v>1069.8</v>
      </c>
      <c r="L10" s="167">
        <f>K10+J10</f>
        <v>1069.8</v>
      </c>
      <c r="M10" s="169">
        <f t="shared" si="0"/>
        <v>0.2111176002216073</v>
      </c>
      <c r="N10" s="167">
        <f>ROUND(G10*(1+$M10),2)</f>
        <v>0</v>
      </c>
      <c r="O10" s="169">
        <f t="shared" si="1"/>
        <v>0.26838623884514634</v>
      </c>
      <c r="P10" s="167">
        <f>ROUND(H10*(1+$O10),2)</f>
        <v>1356.92</v>
      </c>
      <c r="Q10" s="168">
        <f>P10+N10</f>
        <v>1356.92</v>
      </c>
      <c r="R10" s="168">
        <f>ROUND(N10*$F10,2)</f>
        <v>0</v>
      </c>
      <c r="S10" s="168">
        <f>ROUND(P10*$F10,2)</f>
        <v>1356.92</v>
      </c>
      <c r="T10" s="168">
        <f>S10+R10</f>
        <v>1356.92</v>
      </c>
    </row>
    <row r="11" spans="1:20" ht="15.75" thickBot="1" x14ac:dyDescent="0.3">
      <c r="A11" s="1" t="str">
        <f>'Planilha de Composição'!A20</f>
        <v>1.4</v>
      </c>
      <c r="B11" s="1" t="str">
        <f>'Planilha de Composição'!B20</f>
        <v>C.P</v>
      </c>
      <c r="C11" s="1">
        <f>'Planilha de Composição'!C20</f>
        <v>0</v>
      </c>
      <c r="D11" s="348" t="str">
        <f>'Planilha de Composição'!D20</f>
        <v>ELABORAÇÃO DO PROGRAMA DE CONDIÇÕES E MEIO AMBIENTE (PCMAT)</v>
      </c>
      <c r="E11" s="1" t="str">
        <f>'Planilha de Composição'!E20</f>
        <v>un</v>
      </c>
      <c r="F11" s="351">
        <v>1.0000000000000002</v>
      </c>
      <c r="G11" s="190">
        <f>'Planilha de Composição'!H20</f>
        <v>0</v>
      </c>
      <c r="H11" s="190">
        <f>'Planilha de Composição'!I20</f>
        <v>1283.76</v>
      </c>
      <c r="I11" s="117">
        <f>H11+G11</f>
        <v>1283.76</v>
      </c>
      <c r="J11" s="166">
        <f t="shared" si="2"/>
        <v>0</v>
      </c>
      <c r="K11" s="166">
        <f t="shared" si="2"/>
        <v>1283.76</v>
      </c>
      <c r="L11" s="167">
        <f>K11+J11</f>
        <v>1283.76</v>
      </c>
      <c r="M11" s="169">
        <f t="shared" si="0"/>
        <v>0.2111176002216073</v>
      </c>
      <c r="N11" s="167">
        <f>ROUND(G11*(1+$M11),2)</f>
        <v>0</v>
      </c>
      <c r="O11" s="169">
        <f t="shared" si="1"/>
        <v>0.26838623884514634</v>
      </c>
      <c r="P11" s="167">
        <f>ROUND(H11*(1+$O11),2)</f>
        <v>1628.3</v>
      </c>
      <c r="Q11" s="168">
        <f>P11+N11</f>
        <v>1628.3</v>
      </c>
      <c r="R11" s="168">
        <f>ROUND(N11*$F11,2)</f>
        <v>0</v>
      </c>
      <c r="S11" s="168">
        <f>ROUND(P11*$F11,2)</f>
        <v>1628.3</v>
      </c>
      <c r="T11" s="168">
        <f>S11+R11</f>
        <v>1628.3</v>
      </c>
    </row>
    <row r="12" spans="1:20" ht="15.75" thickBot="1" x14ac:dyDescent="0.3">
      <c r="A12" s="1" t="str">
        <f>'Planilha de Composição'!A22</f>
        <v>1.5</v>
      </c>
      <c r="B12" s="1" t="str">
        <f>'Planilha de Composição'!B22</f>
        <v>C.P</v>
      </c>
      <c r="C12" s="1">
        <f>'Planilha de Composição'!C22</f>
        <v>0</v>
      </c>
      <c r="D12" s="348" t="str">
        <f>'Planilha de Composição'!D22</f>
        <v>LOCAÇÃO DE CONTAINER METÁLICO TIPO DEPÓSITO/ALMOXARIFADO DE 10,60m²</v>
      </c>
      <c r="E12" s="1" t="str">
        <f>'Planilha de Composição'!E22</f>
        <v>unxmês</v>
      </c>
      <c r="F12" s="351">
        <v>3</v>
      </c>
      <c r="G12" s="190">
        <f>'Planilha de Composição'!H22</f>
        <v>811.2</v>
      </c>
      <c r="H12" s="190">
        <f>'Planilha de Composição'!I22</f>
        <v>0</v>
      </c>
      <c r="I12" s="117">
        <f>H12+G12</f>
        <v>811.2</v>
      </c>
      <c r="J12" s="166">
        <f t="shared" si="2"/>
        <v>2433.6</v>
      </c>
      <c r="K12" s="166">
        <f t="shared" si="2"/>
        <v>0</v>
      </c>
      <c r="L12" s="167">
        <f>K12+J12</f>
        <v>2433.6</v>
      </c>
      <c r="M12" s="169">
        <f t="shared" si="0"/>
        <v>0.2111176002216073</v>
      </c>
      <c r="N12" s="167">
        <f>ROUND(G12*(1+$M12),2)</f>
        <v>982.46</v>
      </c>
      <c r="O12" s="169">
        <f t="shared" si="1"/>
        <v>0.26838623884514634</v>
      </c>
      <c r="P12" s="167">
        <f>ROUND(H12*(1+$O12),2)</f>
        <v>0</v>
      </c>
      <c r="Q12" s="168">
        <f>P12+N12</f>
        <v>982.46</v>
      </c>
      <c r="R12" s="168">
        <f>ROUND(N12*$F12,2)</f>
        <v>2947.38</v>
      </c>
      <c r="S12" s="168">
        <f>ROUND(P12*$F12,2)</f>
        <v>0</v>
      </c>
      <c r="T12" s="168">
        <f>S12+R12</f>
        <v>2947.38</v>
      </c>
    </row>
    <row r="13" spans="1:20" ht="15.75" thickBot="1" x14ac:dyDescent="0.3">
      <c r="A13" s="55">
        <f>'Planilha de Composição'!A24</f>
        <v>2</v>
      </c>
      <c r="B13" s="50"/>
      <c r="C13" s="51"/>
      <c r="D13" s="349" t="str">
        <f>'Planilha de Composição'!D24</f>
        <v>Administração Local - Pessoal Indireto, Despesas com Equipe e Despesas Administrativas</v>
      </c>
      <c r="E13" s="55"/>
      <c r="F13" s="71"/>
      <c r="G13" s="71"/>
      <c r="H13" s="71"/>
      <c r="I13" s="71"/>
      <c r="J13" s="69">
        <f>SUM(J14:J15)</f>
        <v>0</v>
      </c>
      <c r="K13" s="69">
        <f>SUM(K14:K15)</f>
        <v>44258.34</v>
      </c>
      <c r="L13" s="69">
        <f>SUM(L14:L15)</f>
        <v>44258.34</v>
      </c>
      <c r="M13" s="75">
        <f t="shared" si="0"/>
        <v>0.2111176002216073</v>
      </c>
      <c r="N13" s="70"/>
      <c r="O13" s="75">
        <f t="shared" si="1"/>
        <v>0.26838623884514634</v>
      </c>
      <c r="P13" s="70"/>
      <c r="Q13" s="69"/>
      <c r="R13" s="69">
        <f>SUM(R14:R15)</f>
        <v>0</v>
      </c>
      <c r="S13" s="69">
        <f>SUM(S14:S15)</f>
        <v>56136.66</v>
      </c>
      <c r="T13" s="69">
        <f>SUM(T14:T15)</f>
        <v>56136.66</v>
      </c>
    </row>
    <row r="14" spans="1:20" ht="15.75" thickBot="1" x14ac:dyDescent="0.3">
      <c r="A14" s="1" t="str">
        <f>'Planilha de Composição'!A25</f>
        <v>2.1</v>
      </c>
      <c r="B14" s="1" t="str">
        <f>'Planilha de Composição'!B25</f>
        <v>C.P</v>
      </c>
      <c r="C14" s="1">
        <f>'Planilha de Composição'!C25</f>
        <v>0</v>
      </c>
      <c r="D14" s="348" t="str">
        <f>'Planilha de Composição'!D25</f>
        <v>EQUIPE TÉCNICA CONSTITUÍDA POR 01 ENGENHEIRO MECÂNICO, COM ENCARGOS COMPLEMENTARES</v>
      </c>
      <c r="E14" s="1" t="str">
        <f>'Planilha de Composição'!E25</f>
        <v>mês</v>
      </c>
      <c r="F14" s="351">
        <v>3</v>
      </c>
      <c r="G14" s="3">
        <f>'Planilha de Composição'!H25</f>
        <v>0</v>
      </c>
      <c r="H14" s="3">
        <f>'Planilha de Composição'!I25</f>
        <v>7467</v>
      </c>
      <c r="I14" s="117">
        <f>H14+G14</f>
        <v>7467</v>
      </c>
      <c r="J14" s="166">
        <f>ROUND(G14*$F14,2)</f>
        <v>0</v>
      </c>
      <c r="K14" s="166">
        <f>ROUND(H14*$F14,2)</f>
        <v>22401</v>
      </c>
      <c r="L14" s="167">
        <f>K14+J14</f>
        <v>22401</v>
      </c>
      <c r="M14" s="169">
        <f t="shared" si="0"/>
        <v>0.2111176002216073</v>
      </c>
      <c r="N14" s="167">
        <f>ROUND(G14*(1+$M14),2)</f>
        <v>0</v>
      </c>
      <c r="O14" s="169">
        <f t="shared" si="1"/>
        <v>0.26838623884514634</v>
      </c>
      <c r="P14" s="167">
        <f>ROUND(H14*(1+$O14),2)</f>
        <v>9471.0400000000009</v>
      </c>
      <c r="Q14" s="168">
        <f>P14+N14</f>
        <v>9471.0400000000009</v>
      </c>
      <c r="R14" s="168">
        <f>ROUND(N14*$F14,2)</f>
        <v>0</v>
      </c>
      <c r="S14" s="168">
        <f>ROUND(P14*$F14,2)</f>
        <v>28413.119999999999</v>
      </c>
      <c r="T14" s="168">
        <f>S14+R14</f>
        <v>28413.119999999999</v>
      </c>
    </row>
    <row r="15" spans="1:20" ht="15.75" thickBot="1" x14ac:dyDescent="0.3">
      <c r="A15" s="1" t="str">
        <f>'Planilha de Composição'!A27</f>
        <v>2.2</v>
      </c>
      <c r="B15" s="1" t="str">
        <f>'Planilha de Composição'!B27</f>
        <v>SINAPI</v>
      </c>
      <c r="C15" s="1">
        <f>'Planilha de Composição'!C27</f>
        <v>93572</v>
      </c>
      <c r="D15" s="348" t="str">
        <f>'Planilha de Composição'!D27</f>
        <v>ENCARREGADO GERAL DE OBRAS COM ENCARGOS COMPLEMENTARES</v>
      </c>
      <c r="E15" s="1" t="str">
        <f>'Planilha de Composição'!E27</f>
        <v>mês</v>
      </c>
      <c r="F15" s="351">
        <v>3</v>
      </c>
      <c r="G15" s="3">
        <f>'Planilha de Composição'!H27</f>
        <v>0</v>
      </c>
      <c r="H15" s="3">
        <f>'Planilha de Composição'!I27</f>
        <v>7285.78</v>
      </c>
      <c r="I15" s="117">
        <f>H15+G15</f>
        <v>7285.78</v>
      </c>
      <c r="J15" s="166">
        <f>ROUND(G15*$F15,2)</f>
        <v>0</v>
      </c>
      <c r="K15" s="166">
        <f>ROUND(H15*$F15,2)</f>
        <v>21857.34</v>
      </c>
      <c r="L15" s="167">
        <f>K15+J15</f>
        <v>21857.34</v>
      </c>
      <c r="M15" s="169">
        <f t="shared" si="0"/>
        <v>0.2111176002216073</v>
      </c>
      <c r="N15" s="167">
        <f>ROUND(G15*(1+$M15),2)</f>
        <v>0</v>
      </c>
      <c r="O15" s="169">
        <f t="shared" si="1"/>
        <v>0.26838623884514634</v>
      </c>
      <c r="P15" s="167">
        <f>ROUND(H15*(1+$O15),2)</f>
        <v>9241.18</v>
      </c>
      <c r="Q15" s="168">
        <f>P15+N15</f>
        <v>9241.18</v>
      </c>
      <c r="R15" s="168">
        <f>ROUND(N15*$F15,2)</f>
        <v>0</v>
      </c>
      <c r="S15" s="168">
        <f>ROUND(P15*$F15,2)</f>
        <v>27723.54</v>
      </c>
      <c r="T15" s="168">
        <f>S15+R15</f>
        <v>27723.54</v>
      </c>
    </row>
    <row r="16" spans="1:20" ht="15.75" thickBot="1" x14ac:dyDescent="0.3">
      <c r="A16" s="56">
        <f>'Planilha de Composição'!A29</f>
        <v>3</v>
      </c>
      <c r="B16" s="57"/>
      <c r="C16" s="58"/>
      <c r="D16" s="350" t="str">
        <f>'Planilha de Composição'!D29</f>
        <v>Equipamentos / Componentes Eletromecânicos</v>
      </c>
      <c r="E16" s="59"/>
      <c r="F16" s="288"/>
      <c r="G16" s="60"/>
      <c r="H16" s="60"/>
      <c r="I16" s="60"/>
      <c r="J16" s="60">
        <f>SUM(J17:J29)</f>
        <v>272508.17000000004</v>
      </c>
      <c r="K16" s="60">
        <f>SUM(K17:K29)</f>
        <v>18425.16</v>
      </c>
      <c r="L16" s="60">
        <f>SUM(L17:L29)</f>
        <v>290933.33000000007</v>
      </c>
      <c r="M16" s="75">
        <f t="shared" si="0"/>
        <v>0.2111176002216073</v>
      </c>
      <c r="N16" s="70"/>
      <c r="O16" s="75">
        <f t="shared" si="1"/>
        <v>0.26838623884514634</v>
      </c>
      <c r="P16" s="70"/>
      <c r="Q16" s="60"/>
      <c r="R16" s="60">
        <f>SUM(R17:R29)</f>
        <v>330039.33999999991</v>
      </c>
      <c r="S16" s="60">
        <f>SUM(S17:S29)</f>
        <v>23370.25</v>
      </c>
      <c r="T16" s="60">
        <f>SUM(T17:T29)</f>
        <v>353409.58999999991</v>
      </c>
    </row>
    <row r="17" spans="1:20" ht="15.75" thickBot="1" x14ac:dyDescent="0.3">
      <c r="A17" s="1" t="str">
        <f>'Planilha de Composição'!A30</f>
        <v>3.1</v>
      </c>
      <c r="B17" s="1" t="str">
        <f>'Planilha de Composição'!B30</f>
        <v>C.P</v>
      </c>
      <c r="C17" s="1">
        <f>'Planilha de Composição'!C30</f>
        <v>0</v>
      </c>
      <c r="D17" s="348" t="str">
        <f>'Planilha de Composição'!D30</f>
        <v>FORNECIMENTO E INSTALAÇÃO DE UNIDADE CONDENSADORA VRV, CAPACIDADE DE 10HP,  Modelo RHXYQ10ATL - Fabricante Daikin ou equivalente</v>
      </c>
      <c r="E17" s="1" t="str">
        <f>'Planilha de Composição'!E30</f>
        <v>un</v>
      </c>
      <c r="F17" s="351">
        <v>1</v>
      </c>
      <c r="G17" s="3">
        <f>'Planilha de Composição'!H30</f>
        <v>47868.65</v>
      </c>
      <c r="H17" s="3">
        <f>'Planilha de Composição'!I30</f>
        <v>797.28</v>
      </c>
      <c r="I17" s="117">
        <f t="shared" ref="I17:I29" si="3">H17+G17</f>
        <v>48665.93</v>
      </c>
      <c r="J17" s="166">
        <f t="shared" ref="J17:K29" si="4">ROUND(G17*$F17,2)</f>
        <v>47868.65</v>
      </c>
      <c r="K17" s="166">
        <f t="shared" si="4"/>
        <v>797.28</v>
      </c>
      <c r="L17" s="167">
        <f t="shared" ref="L17:L29" si="5">K17+J17</f>
        <v>48665.93</v>
      </c>
      <c r="M17" s="169">
        <f t="shared" ref="M17:M63" si="6">$L$2</f>
        <v>0.2111176002216073</v>
      </c>
      <c r="N17" s="167">
        <f t="shared" ref="N17:N29" si="7">ROUND(G17*(1+$M17),2)</f>
        <v>57974.559999999998</v>
      </c>
      <c r="O17" s="169">
        <f t="shared" ref="O17:O29" si="8">$K$2</f>
        <v>0.26838623884514634</v>
      </c>
      <c r="P17" s="167">
        <f t="shared" ref="P17:P29" si="9">ROUND(H17*(1+$O17),2)</f>
        <v>1011.26</v>
      </c>
      <c r="Q17" s="168">
        <f t="shared" ref="Q17:Q29" si="10">P17+N17</f>
        <v>58985.82</v>
      </c>
      <c r="R17" s="168">
        <f t="shared" ref="R17:R29" si="11">ROUND(N17*$F17,2)</f>
        <v>57974.559999999998</v>
      </c>
      <c r="S17" s="168">
        <f t="shared" ref="S17:S29" si="12">ROUND(P17*$F17,2)</f>
        <v>1011.26</v>
      </c>
      <c r="T17" s="168">
        <f t="shared" ref="T17:T29" si="13">S17+R17</f>
        <v>58985.82</v>
      </c>
    </row>
    <row r="18" spans="1:20" ht="15.75" thickBot="1" x14ac:dyDescent="0.3">
      <c r="A18" s="1" t="str">
        <f>'Planilha de Composição'!A35</f>
        <v>3.2</v>
      </c>
      <c r="B18" s="1" t="str">
        <f>'Planilha de Composição'!B35</f>
        <v>C.P</v>
      </c>
      <c r="C18" s="1">
        <f>'Planilha de Composição'!C35</f>
        <v>0</v>
      </c>
      <c r="D18" s="348" t="str">
        <f>'Planilha de Composição'!D35</f>
        <v>FORNECIMENTO E INSTALAÇÃO DE UNIDADE CONDENSADORA VRV, CAPACIDADE DE 12HP,  Modelo RHXYQ12ATL - Fabricante Daikin ou equivalente</v>
      </c>
      <c r="E18" s="1" t="str">
        <f>'Planilha de Composição'!E35</f>
        <v>un</v>
      </c>
      <c r="F18" s="351">
        <v>1</v>
      </c>
      <c r="G18" s="3">
        <f>'Planilha de Composição'!H35</f>
        <v>51846.18</v>
      </c>
      <c r="H18" s="3">
        <f>'Planilha de Composição'!I35</f>
        <v>797.28</v>
      </c>
      <c r="I18" s="117">
        <f t="shared" si="3"/>
        <v>52643.46</v>
      </c>
      <c r="J18" s="166">
        <f t="shared" si="4"/>
        <v>51846.18</v>
      </c>
      <c r="K18" s="166">
        <f t="shared" si="4"/>
        <v>797.28</v>
      </c>
      <c r="L18" s="167">
        <f t="shared" si="5"/>
        <v>52643.46</v>
      </c>
      <c r="M18" s="169">
        <f t="shared" si="6"/>
        <v>0.2111176002216073</v>
      </c>
      <c r="N18" s="167">
        <f t="shared" si="7"/>
        <v>62791.82</v>
      </c>
      <c r="O18" s="169">
        <f t="shared" si="8"/>
        <v>0.26838623884514634</v>
      </c>
      <c r="P18" s="167">
        <f t="shared" si="9"/>
        <v>1011.26</v>
      </c>
      <c r="Q18" s="168">
        <f t="shared" si="10"/>
        <v>63803.08</v>
      </c>
      <c r="R18" s="168">
        <f t="shared" si="11"/>
        <v>62791.82</v>
      </c>
      <c r="S18" s="168">
        <f t="shared" si="12"/>
        <v>1011.26</v>
      </c>
      <c r="T18" s="168">
        <f t="shared" si="13"/>
        <v>63803.08</v>
      </c>
    </row>
    <row r="19" spans="1:20" ht="15.75" thickBot="1" x14ac:dyDescent="0.3">
      <c r="A19" s="1" t="str">
        <f>'Planilha de Composição'!A40</f>
        <v>3.3</v>
      </c>
      <c r="B19" s="1" t="str">
        <f>'Planilha de Composição'!B40</f>
        <v>C.P</v>
      </c>
      <c r="C19" s="1">
        <f>'Planilha de Composição'!C40</f>
        <v>0</v>
      </c>
      <c r="D19" s="348" t="str">
        <f>'Planilha de Composição'!D40</f>
        <v>FORNECIMENTO E INSTALAÇÃO DE UNIDADE CONDENSADORA VRV, CAPACIDADE DE 16HP,  Modelo RHXYQ16ATL - Fabricante Daikin ou equivalente</v>
      </c>
      <c r="E19" s="1" t="str">
        <f>'Planilha de Composição'!E40</f>
        <v>un</v>
      </c>
      <c r="F19" s="351">
        <v>1</v>
      </c>
      <c r="G19" s="3">
        <f>'Planilha de Composição'!H40</f>
        <v>62719.16</v>
      </c>
      <c r="H19" s="3">
        <f>'Planilha de Composição'!I40</f>
        <v>797.28</v>
      </c>
      <c r="I19" s="117">
        <f t="shared" si="3"/>
        <v>63516.44</v>
      </c>
      <c r="J19" s="166">
        <f t="shared" si="4"/>
        <v>62719.16</v>
      </c>
      <c r="K19" s="166">
        <f t="shared" si="4"/>
        <v>797.28</v>
      </c>
      <c r="L19" s="167">
        <f t="shared" si="5"/>
        <v>63516.44</v>
      </c>
      <c r="M19" s="169">
        <f t="shared" si="6"/>
        <v>0.2111176002216073</v>
      </c>
      <c r="N19" s="167">
        <f t="shared" si="7"/>
        <v>75960.28</v>
      </c>
      <c r="O19" s="169">
        <f t="shared" si="8"/>
        <v>0.26838623884514634</v>
      </c>
      <c r="P19" s="167">
        <f t="shared" si="9"/>
        <v>1011.26</v>
      </c>
      <c r="Q19" s="168">
        <f t="shared" si="10"/>
        <v>76971.539999999994</v>
      </c>
      <c r="R19" s="168">
        <f t="shared" si="11"/>
        <v>75960.28</v>
      </c>
      <c r="S19" s="168">
        <f t="shared" si="12"/>
        <v>1011.26</v>
      </c>
      <c r="T19" s="168">
        <f t="shared" si="13"/>
        <v>76971.539999999994</v>
      </c>
    </row>
    <row r="20" spans="1:20" ht="15.75" thickBot="1" x14ac:dyDescent="0.3">
      <c r="A20" s="1" t="str">
        <f>'Planilha de Composição'!A45</f>
        <v>3.4</v>
      </c>
      <c r="B20" s="1" t="str">
        <f>'Planilha de Composição'!B45</f>
        <v>C.P</v>
      </c>
      <c r="C20" s="1">
        <f>'Planilha de Composição'!C45</f>
        <v>0</v>
      </c>
      <c r="D20" s="348" t="str">
        <f>'Planilha de Composição'!D45</f>
        <v>FORNECIMENTO E INSTALAÇÃO DE UNIDADE EVAPORADORA VRV - Hi-Wall - 6.100 kcal/h - Modelo FXAQ63AVM, fabricação Daikin ou equivalente</v>
      </c>
      <c r="E20" s="1" t="str">
        <f>'Planilha de Composição'!E45</f>
        <v>un</v>
      </c>
      <c r="F20" s="351">
        <v>15</v>
      </c>
      <c r="G20" s="3">
        <f>'Planilha de Composição'!H45</f>
        <v>4125</v>
      </c>
      <c r="H20" s="3">
        <f>'Planilha de Composição'!I45</f>
        <v>697.62</v>
      </c>
      <c r="I20" s="117">
        <f t="shared" si="3"/>
        <v>4822.62</v>
      </c>
      <c r="J20" s="166">
        <f t="shared" si="4"/>
        <v>61875</v>
      </c>
      <c r="K20" s="166">
        <f t="shared" si="4"/>
        <v>10464.299999999999</v>
      </c>
      <c r="L20" s="167">
        <f t="shared" si="5"/>
        <v>72339.3</v>
      </c>
      <c r="M20" s="169">
        <f t="shared" si="6"/>
        <v>0.2111176002216073</v>
      </c>
      <c r="N20" s="167">
        <f t="shared" si="7"/>
        <v>4995.8599999999997</v>
      </c>
      <c r="O20" s="169">
        <f t="shared" si="8"/>
        <v>0.26838623884514634</v>
      </c>
      <c r="P20" s="167">
        <f t="shared" si="9"/>
        <v>884.85</v>
      </c>
      <c r="Q20" s="168">
        <f t="shared" si="10"/>
        <v>5880.71</v>
      </c>
      <c r="R20" s="168">
        <f t="shared" si="11"/>
        <v>74937.899999999994</v>
      </c>
      <c r="S20" s="168">
        <f t="shared" si="12"/>
        <v>13272.75</v>
      </c>
      <c r="T20" s="168">
        <f t="shared" si="13"/>
        <v>88210.65</v>
      </c>
    </row>
    <row r="21" spans="1:20" ht="15.75" thickBot="1" x14ac:dyDescent="0.3">
      <c r="A21" s="1" t="str">
        <f>'Planilha de Composição'!A50</f>
        <v>3.5</v>
      </c>
      <c r="B21" s="1" t="str">
        <f>'Planilha de Composição'!B50</f>
        <v>C.P</v>
      </c>
      <c r="C21" s="1">
        <f>'Planilha de Composição'!C50</f>
        <v>0</v>
      </c>
      <c r="D21" s="348" t="str">
        <f>'Planilha de Composição'!D50</f>
        <v>FORNECIMENTO E INSTALAÇÃO DE KIT REFNET de derivação Modelo KHRP26A22T, fabricação Daikin ou equivalente</v>
      </c>
      <c r="E21" s="1" t="str">
        <f>'Planilha de Composição'!E50</f>
        <v>un</v>
      </c>
      <c r="F21" s="351">
        <v>2</v>
      </c>
      <c r="G21" s="3">
        <f>'Planilha de Composição'!H50</f>
        <v>455.59</v>
      </c>
      <c r="H21" s="3">
        <f>'Planilha de Composição'!I50</f>
        <v>76.78</v>
      </c>
      <c r="I21" s="117">
        <f t="shared" si="3"/>
        <v>532.37</v>
      </c>
      <c r="J21" s="166">
        <f t="shared" si="4"/>
        <v>911.18</v>
      </c>
      <c r="K21" s="166">
        <f t="shared" si="4"/>
        <v>153.56</v>
      </c>
      <c r="L21" s="167">
        <f t="shared" si="5"/>
        <v>1064.74</v>
      </c>
      <c r="M21" s="169">
        <f t="shared" si="6"/>
        <v>0.2111176002216073</v>
      </c>
      <c r="N21" s="167">
        <f t="shared" si="7"/>
        <v>551.77</v>
      </c>
      <c r="O21" s="169">
        <f t="shared" si="8"/>
        <v>0.26838623884514634</v>
      </c>
      <c r="P21" s="167">
        <f t="shared" si="9"/>
        <v>97.39</v>
      </c>
      <c r="Q21" s="168">
        <f t="shared" si="10"/>
        <v>649.16</v>
      </c>
      <c r="R21" s="168">
        <f t="shared" si="11"/>
        <v>1103.54</v>
      </c>
      <c r="S21" s="168">
        <f t="shared" si="12"/>
        <v>194.78</v>
      </c>
      <c r="T21" s="168">
        <f t="shared" si="13"/>
        <v>1298.32</v>
      </c>
    </row>
    <row r="22" spans="1:20" ht="15.75" thickBot="1" x14ac:dyDescent="0.3">
      <c r="A22" s="1" t="str">
        <f>'Planilha de Composição'!A54</f>
        <v>3.6</v>
      </c>
      <c r="B22" s="1" t="str">
        <f>'Planilha de Composição'!B54</f>
        <v>C.P</v>
      </c>
      <c r="C22" s="1">
        <f>'Planilha de Composição'!C54</f>
        <v>0</v>
      </c>
      <c r="D22" s="348" t="str">
        <f>'Planilha de Composição'!D54</f>
        <v>FORNECIMENTO E INSTALAÇÃO DE KIT REFNET de derivação Modelo KHRP26A33T, fabaricação Daikin ou equivalente</v>
      </c>
      <c r="E22" s="1" t="str">
        <f>'Planilha de Composição'!E54</f>
        <v>un</v>
      </c>
      <c r="F22" s="351">
        <v>1</v>
      </c>
      <c r="G22" s="3">
        <f>'Planilha de Composição'!H54</f>
        <v>473.13</v>
      </c>
      <c r="H22" s="3">
        <f>'Planilha de Composição'!I54</f>
        <v>76.78</v>
      </c>
      <c r="I22" s="117">
        <f t="shared" si="3"/>
        <v>549.91</v>
      </c>
      <c r="J22" s="166">
        <f t="shared" si="4"/>
        <v>473.13</v>
      </c>
      <c r="K22" s="166">
        <f t="shared" si="4"/>
        <v>76.78</v>
      </c>
      <c r="L22" s="167">
        <f t="shared" si="5"/>
        <v>549.91</v>
      </c>
      <c r="M22" s="169">
        <f t="shared" si="6"/>
        <v>0.2111176002216073</v>
      </c>
      <c r="N22" s="167">
        <f t="shared" si="7"/>
        <v>573.02</v>
      </c>
      <c r="O22" s="169">
        <f t="shared" si="8"/>
        <v>0.26838623884514634</v>
      </c>
      <c r="P22" s="167">
        <f t="shared" si="9"/>
        <v>97.39</v>
      </c>
      <c r="Q22" s="168">
        <f t="shared" si="10"/>
        <v>670.41</v>
      </c>
      <c r="R22" s="168">
        <f t="shared" si="11"/>
        <v>573.02</v>
      </c>
      <c r="S22" s="168">
        <f t="shared" si="12"/>
        <v>97.39</v>
      </c>
      <c r="T22" s="168">
        <f t="shared" si="13"/>
        <v>670.41</v>
      </c>
    </row>
    <row r="23" spans="1:20" ht="15.75" thickBot="1" x14ac:dyDescent="0.3">
      <c r="A23" s="1" t="str">
        <f>'Planilha de Composição'!A58</f>
        <v>3.7</v>
      </c>
      <c r="B23" s="1" t="str">
        <f>'Planilha de Composição'!B58</f>
        <v>C.P</v>
      </c>
      <c r="C23" s="1">
        <f>'Planilha de Composição'!C58</f>
        <v>0</v>
      </c>
      <c r="D23" s="348" t="str">
        <f>'Planilha de Composição'!D58</f>
        <v>FORNECIMENTO E INSTALAÇÃO DE KIT REFNET de derivação Modelo KHRP26A72T, fabricação Daikin ou equivalente</v>
      </c>
      <c r="E23" s="1" t="str">
        <f>'Planilha de Composição'!E58</f>
        <v>un</v>
      </c>
      <c r="F23" s="351">
        <v>6</v>
      </c>
      <c r="G23" s="3">
        <f>'Planilha de Composição'!H58</f>
        <v>735.95</v>
      </c>
      <c r="H23" s="3">
        <f>'Planilha de Composição'!I58</f>
        <v>76.78</v>
      </c>
      <c r="I23" s="117">
        <f t="shared" si="3"/>
        <v>812.73</v>
      </c>
      <c r="J23" s="166">
        <f t="shared" si="4"/>
        <v>4415.7</v>
      </c>
      <c r="K23" s="166">
        <f t="shared" si="4"/>
        <v>460.68</v>
      </c>
      <c r="L23" s="167">
        <f t="shared" si="5"/>
        <v>4876.38</v>
      </c>
      <c r="M23" s="169">
        <f t="shared" si="6"/>
        <v>0.2111176002216073</v>
      </c>
      <c r="N23" s="167">
        <f t="shared" si="7"/>
        <v>891.32</v>
      </c>
      <c r="O23" s="169">
        <f t="shared" si="8"/>
        <v>0.26838623884514634</v>
      </c>
      <c r="P23" s="167">
        <f t="shared" si="9"/>
        <v>97.39</v>
      </c>
      <c r="Q23" s="168">
        <f t="shared" si="10"/>
        <v>988.71</v>
      </c>
      <c r="R23" s="168">
        <f t="shared" si="11"/>
        <v>5347.92</v>
      </c>
      <c r="S23" s="168">
        <f t="shared" si="12"/>
        <v>584.34</v>
      </c>
      <c r="T23" s="168">
        <f t="shared" si="13"/>
        <v>5932.26</v>
      </c>
    </row>
    <row r="24" spans="1:20" ht="15.75" thickBot="1" x14ac:dyDescent="0.3">
      <c r="A24" s="1" t="str">
        <f>'Planilha de Composição'!A62</f>
        <v>3.8</v>
      </c>
      <c r="B24" s="1" t="str">
        <f>'Planilha de Composição'!B62</f>
        <v>C.P</v>
      </c>
      <c r="C24" s="1">
        <f>'Planilha de Composição'!C62</f>
        <v>0</v>
      </c>
      <c r="D24" s="348" t="str">
        <f>'Planilha de Composição'!D62</f>
        <v>FORNECIMENTO E INSTALAÇÃO DE KIT REFNET de derivação Modelo KHRP26A73T, fabricação Daikin ou equivalente</v>
      </c>
      <c r="E24" s="1" t="str">
        <f>'Planilha de Composição'!E62</f>
        <v>un</v>
      </c>
      <c r="F24" s="351">
        <v>5</v>
      </c>
      <c r="G24" s="3">
        <f>'Planilha de Composição'!H62</f>
        <v>1314.22</v>
      </c>
      <c r="H24" s="3">
        <f>'Planilha de Composição'!I62</f>
        <v>76.78</v>
      </c>
      <c r="I24" s="117">
        <f t="shared" si="3"/>
        <v>1391</v>
      </c>
      <c r="J24" s="166">
        <f t="shared" si="4"/>
        <v>6571.1</v>
      </c>
      <c r="K24" s="166">
        <f t="shared" si="4"/>
        <v>383.9</v>
      </c>
      <c r="L24" s="167">
        <f t="shared" si="5"/>
        <v>6955</v>
      </c>
      <c r="M24" s="169">
        <f t="shared" si="6"/>
        <v>0.2111176002216073</v>
      </c>
      <c r="N24" s="167">
        <f t="shared" si="7"/>
        <v>1591.67</v>
      </c>
      <c r="O24" s="169">
        <f t="shared" si="8"/>
        <v>0.26838623884514634</v>
      </c>
      <c r="P24" s="167">
        <f t="shared" si="9"/>
        <v>97.39</v>
      </c>
      <c r="Q24" s="168">
        <f t="shared" si="10"/>
        <v>1689.0600000000002</v>
      </c>
      <c r="R24" s="168">
        <f t="shared" si="11"/>
        <v>7958.35</v>
      </c>
      <c r="S24" s="168">
        <f t="shared" si="12"/>
        <v>486.95</v>
      </c>
      <c r="T24" s="168">
        <f t="shared" si="13"/>
        <v>8445.3000000000011</v>
      </c>
    </row>
    <row r="25" spans="1:20" ht="15.75" thickBot="1" x14ac:dyDescent="0.3">
      <c r="A25" s="1" t="str">
        <f>'Planilha de Composição'!A66</f>
        <v>3.9</v>
      </c>
      <c r="B25" s="1" t="str">
        <f>'Planilha de Composição'!B66</f>
        <v>C.P</v>
      </c>
      <c r="C25" s="1">
        <f>'Planilha de Composição'!C66</f>
        <v>0</v>
      </c>
      <c r="D25" s="348" t="str">
        <f>'Planilha de Composição'!D66</f>
        <v>FORNECIMENTO E INSTALAÇÃO DE KIT REFNET de redução Modelo KHRP26M73TP9,  fabricação Daikin ou equivalente</v>
      </c>
      <c r="E25" s="1" t="str">
        <f>'Planilha de Composição'!E66</f>
        <v>un</v>
      </c>
      <c r="F25" s="351">
        <v>5</v>
      </c>
      <c r="G25" s="3">
        <f>'Planilha de Composição'!H66</f>
        <v>490.64</v>
      </c>
      <c r="H25" s="3">
        <f>'Planilha de Composição'!I66</f>
        <v>76.78</v>
      </c>
      <c r="I25" s="117">
        <f t="shared" si="3"/>
        <v>567.41999999999996</v>
      </c>
      <c r="J25" s="166">
        <f t="shared" si="4"/>
        <v>2453.1999999999998</v>
      </c>
      <c r="K25" s="166">
        <f t="shared" si="4"/>
        <v>383.9</v>
      </c>
      <c r="L25" s="167">
        <f t="shared" si="5"/>
        <v>2837.1</v>
      </c>
      <c r="M25" s="169">
        <f t="shared" si="6"/>
        <v>0.2111176002216073</v>
      </c>
      <c r="N25" s="167">
        <f t="shared" si="7"/>
        <v>594.22</v>
      </c>
      <c r="O25" s="169">
        <f t="shared" si="8"/>
        <v>0.26838623884514634</v>
      </c>
      <c r="P25" s="167">
        <f t="shared" si="9"/>
        <v>97.39</v>
      </c>
      <c r="Q25" s="168">
        <f t="shared" si="10"/>
        <v>691.61</v>
      </c>
      <c r="R25" s="168">
        <f t="shared" si="11"/>
        <v>2971.1</v>
      </c>
      <c r="S25" s="168">
        <f t="shared" si="12"/>
        <v>486.95</v>
      </c>
      <c r="T25" s="168">
        <f t="shared" si="13"/>
        <v>3458.0499999999997</v>
      </c>
    </row>
    <row r="26" spans="1:20" ht="15.75" thickBot="1" x14ac:dyDescent="0.3">
      <c r="A26" s="1" t="str">
        <f>'Planilha de Composição'!A70</f>
        <v>3.10</v>
      </c>
      <c r="B26" s="1" t="str">
        <f>'Planilha de Composição'!B70</f>
        <v>C.P</v>
      </c>
      <c r="C26" s="1">
        <f>'Planilha de Composição'!C70</f>
        <v>0</v>
      </c>
      <c r="D26" s="348" t="str">
        <f>'Planilha de Composição'!D70</f>
        <v>FORNECIMENTO E INSTALAÇÃO DE KIT DE CONEXÃO DE TUBULAÇÃO Modelo  BHFP22P151, fabricação Daikin ou equivalente</v>
      </c>
      <c r="E26" s="1" t="str">
        <f>'Planilha de Composição'!E70</f>
        <v>un</v>
      </c>
      <c r="F26" s="351">
        <v>1</v>
      </c>
      <c r="G26" s="3">
        <f>'Planilha de Composição'!H70</f>
        <v>1769.87</v>
      </c>
      <c r="H26" s="3">
        <f>'Planilha de Composição'!I70</f>
        <v>91.89</v>
      </c>
      <c r="I26" s="117">
        <f t="shared" si="3"/>
        <v>1861.76</v>
      </c>
      <c r="J26" s="166">
        <f t="shared" si="4"/>
        <v>1769.87</v>
      </c>
      <c r="K26" s="166">
        <f t="shared" si="4"/>
        <v>91.89</v>
      </c>
      <c r="L26" s="167">
        <f t="shared" si="5"/>
        <v>1861.76</v>
      </c>
      <c r="M26" s="169">
        <f t="shared" si="6"/>
        <v>0.2111176002216073</v>
      </c>
      <c r="N26" s="167">
        <f t="shared" si="7"/>
        <v>2143.52</v>
      </c>
      <c r="O26" s="169">
        <f t="shared" si="8"/>
        <v>0.26838623884514634</v>
      </c>
      <c r="P26" s="167">
        <f t="shared" si="9"/>
        <v>116.55</v>
      </c>
      <c r="Q26" s="168">
        <f t="shared" si="10"/>
        <v>2260.0700000000002</v>
      </c>
      <c r="R26" s="168">
        <f t="shared" si="11"/>
        <v>2143.52</v>
      </c>
      <c r="S26" s="168">
        <f t="shared" si="12"/>
        <v>116.55</v>
      </c>
      <c r="T26" s="168">
        <f t="shared" si="13"/>
        <v>2260.0700000000002</v>
      </c>
    </row>
    <row r="27" spans="1:20" ht="15.75" thickBot="1" x14ac:dyDescent="0.3">
      <c r="A27" s="1" t="str">
        <f>'Planilha de Composição'!A74</f>
        <v>3.11</v>
      </c>
      <c r="B27" s="1" t="str">
        <f>'Planilha de Composição'!B74</f>
        <v>C.P</v>
      </c>
      <c r="C27" s="1">
        <f>'Planilha de Composição'!C74</f>
        <v>0</v>
      </c>
      <c r="D27" s="348" t="str">
        <f>'Planilha de Composição'!D74</f>
        <v>FORNECIMENTO E INSTALAÇÃO DE Kit de Controle Centralizado, Mod. Reiri for Office, Combinação DCPF06BR+DCPA01, fabricação Daikin ou equivalente</v>
      </c>
      <c r="E27" s="1" t="str">
        <f>'Planilha de Composição'!E74</f>
        <v>un</v>
      </c>
      <c r="F27" s="351">
        <v>1</v>
      </c>
      <c r="G27" s="3">
        <f>'Planilha de Composição'!H74</f>
        <v>18900</v>
      </c>
      <c r="H27" s="3">
        <f>'Planilha de Composição'!I74</f>
        <v>2489.4</v>
      </c>
      <c r="I27" s="117">
        <f t="shared" si="3"/>
        <v>21389.4</v>
      </c>
      <c r="J27" s="166">
        <f t="shared" si="4"/>
        <v>18900</v>
      </c>
      <c r="K27" s="166">
        <f t="shared" si="4"/>
        <v>2489.4</v>
      </c>
      <c r="L27" s="167">
        <f t="shared" si="5"/>
        <v>21389.4</v>
      </c>
      <c r="M27" s="169">
        <f t="shared" si="6"/>
        <v>0.2111176002216073</v>
      </c>
      <c r="N27" s="167">
        <f t="shared" si="7"/>
        <v>22890.12</v>
      </c>
      <c r="O27" s="169">
        <f t="shared" si="8"/>
        <v>0.26838623884514634</v>
      </c>
      <c r="P27" s="167">
        <f t="shared" si="9"/>
        <v>3157.52</v>
      </c>
      <c r="Q27" s="168">
        <f t="shared" si="10"/>
        <v>26047.64</v>
      </c>
      <c r="R27" s="168">
        <f t="shared" si="11"/>
        <v>22890.12</v>
      </c>
      <c r="S27" s="168">
        <f t="shared" si="12"/>
        <v>3157.52</v>
      </c>
      <c r="T27" s="168">
        <f t="shared" si="13"/>
        <v>26047.64</v>
      </c>
    </row>
    <row r="28" spans="1:20" ht="15.75" thickBot="1" x14ac:dyDescent="0.3">
      <c r="A28" s="1" t="str">
        <f>'Planilha de Composição'!A77</f>
        <v>3.12</v>
      </c>
      <c r="B28" s="1" t="str">
        <f>'Planilha de Composição'!B77</f>
        <v>C.P</v>
      </c>
      <c r="C28" s="1">
        <f>'Planilha de Composição'!C77</f>
        <v>0</v>
      </c>
      <c r="D28" s="348" t="str">
        <f>'Planilha de Composição'!D77</f>
        <v>FORNECIMENTO E INSTALAÇÃO de Controlador Remoto com Fio, Mod. BRC2E61,  fabricação Daikin ou equivalente</v>
      </c>
      <c r="E28" s="1" t="str">
        <f>'Planilha de Composição'!E77</f>
        <v>un</v>
      </c>
      <c r="F28" s="351">
        <v>15</v>
      </c>
      <c r="G28" s="3">
        <f>'Planilha de Composição'!H77</f>
        <v>575</v>
      </c>
      <c r="H28" s="3">
        <f>'Planilha de Composição'!I77</f>
        <v>82.98</v>
      </c>
      <c r="I28" s="117">
        <f t="shared" si="3"/>
        <v>657.98</v>
      </c>
      <c r="J28" s="166">
        <f t="shared" si="4"/>
        <v>8625</v>
      </c>
      <c r="K28" s="166">
        <f t="shared" si="4"/>
        <v>1244.7</v>
      </c>
      <c r="L28" s="167">
        <f t="shared" si="5"/>
        <v>9869.7000000000007</v>
      </c>
      <c r="M28" s="169">
        <f t="shared" si="6"/>
        <v>0.2111176002216073</v>
      </c>
      <c r="N28" s="167">
        <f t="shared" si="7"/>
        <v>696.39</v>
      </c>
      <c r="O28" s="169">
        <f t="shared" si="8"/>
        <v>0.26838623884514634</v>
      </c>
      <c r="P28" s="167">
        <f t="shared" si="9"/>
        <v>105.25</v>
      </c>
      <c r="Q28" s="168">
        <f t="shared" si="10"/>
        <v>801.64</v>
      </c>
      <c r="R28" s="168">
        <f t="shared" si="11"/>
        <v>10445.85</v>
      </c>
      <c r="S28" s="168">
        <f t="shared" si="12"/>
        <v>1578.75</v>
      </c>
      <c r="T28" s="168">
        <f t="shared" si="13"/>
        <v>12024.6</v>
      </c>
    </row>
    <row r="29" spans="1:20" ht="15.75" thickBot="1" x14ac:dyDescent="0.3">
      <c r="A29" s="1" t="str">
        <f>'Planilha de Composição'!A80</f>
        <v>3.13</v>
      </c>
      <c r="B29" s="1" t="str">
        <f>'Planilha de Composição'!B80</f>
        <v>C.P</v>
      </c>
      <c r="C29" s="1">
        <f>'Planilha de Composição'!C80</f>
        <v>0</v>
      </c>
      <c r="D29" s="348" t="str">
        <f>'Planilha de Composição'!D80</f>
        <v>FORNECIMENTO E INSTALAÇÃO DE CAIXA DE VENTILAÇÃO, Q=1.475,00m³/h, h=38mmCA, Mod. FH315, Filtragem G4+F8, 220V, 1F, 60Hz, c/ Potenciômetro, fabricação Sicflux ou equivalente</v>
      </c>
      <c r="E29" s="1" t="str">
        <f>'Planilha de Composição'!E80</f>
        <v>un</v>
      </c>
      <c r="F29" s="351">
        <v>1</v>
      </c>
      <c r="G29" s="3">
        <f>'Planilha de Composição'!H80</f>
        <v>4080</v>
      </c>
      <c r="H29" s="3">
        <f>'Planilha de Composição'!I80</f>
        <v>284.21000000000004</v>
      </c>
      <c r="I29" s="117">
        <f t="shared" si="3"/>
        <v>4364.21</v>
      </c>
      <c r="J29" s="166">
        <f t="shared" si="4"/>
        <v>4080</v>
      </c>
      <c r="K29" s="166">
        <f t="shared" si="4"/>
        <v>284.20999999999998</v>
      </c>
      <c r="L29" s="167">
        <f t="shared" si="5"/>
        <v>4364.21</v>
      </c>
      <c r="M29" s="169">
        <f t="shared" si="6"/>
        <v>0.2111176002216073</v>
      </c>
      <c r="N29" s="167">
        <f t="shared" si="7"/>
        <v>4941.3599999999997</v>
      </c>
      <c r="O29" s="169">
        <f t="shared" si="8"/>
        <v>0.26838623884514634</v>
      </c>
      <c r="P29" s="167">
        <f t="shared" si="9"/>
        <v>360.49</v>
      </c>
      <c r="Q29" s="168">
        <f t="shared" si="10"/>
        <v>5301.8499999999995</v>
      </c>
      <c r="R29" s="168">
        <f t="shared" si="11"/>
        <v>4941.3599999999997</v>
      </c>
      <c r="S29" s="168">
        <f t="shared" si="12"/>
        <v>360.49</v>
      </c>
      <c r="T29" s="168">
        <f t="shared" si="13"/>
        <v>5301.8499999999995</v>
      </c>
    </row>
    <row r="30" spans="1:20" ht="15.75" thickBot="1" x14ac:dyDescent="0.3">
      <c r="A30" s="55">
        <f>'Planilha de Composição'!A84</f>
        <v>4</v>
      </c>
      <c r="B30" s="50"/>
      <c r="C30" s="51"/>
      <c r="D30" s="349" t="str">
        <f>'Planilha de Composição'!D84</f>
        <v>Rede Frigorífica e Acessórios - Sistema VRV</v>
      </c>
      <c r="E30" s="61"/>
      <c r="F30" s="61"/>
      <c r="G30" s="62"/>
      <c r="H30" s="62"/>
      <c r="I30" s="62"/>
      <c r="J30" s="62">
        <f>SUM(J31:J43)</f>
        <v>36736.28</v>
      </c>
      <c r="K30" s="62">
        <f>SUM(K31:K43)</f>
        <v>20769.120000000003</v>
      </c>
      <c r="L30" s="62">
        <f>SUM(L31:L43)</f>
        <v>57505.399999999994</v>
      </c>
      <c r="M30" s="75">
        <f>$L$2</f>
        <v>0.2111176002216073</v>
      </c>
      <c r="N30" s="70"/>
      <c r="O30" s="75">
        <f>$K$2</f>
        <v>0.26838623884514634</v>
      </c>
      <c r="P30" s="70"/>
      <c r="Q30" s="62"/>
      <c r="R30" s="62">
        <f>SUM(R31:R43)</f>
        <v>44491.529999999992</v>
      </c>
      <c r="S30" s="62">
        <f>SUM(S31:S43)</f>
        <v>26343.54</v>
      </c>
      <c r="T30" s="62">
        <f>SUM(T31:T43)</f>
        <v>70835.069999999992</v>
      </c>
    </row>
    <row r="31" spans="1:20" ht="15.75" thickBot="1" x14ac:dyDescent="0.3">
      <c r="A31" s="1" t="str">
        <f>'Planilha de Composição'!A85</f>
        <v>4.1</v>
      </c>
      <c r="B31" s="1" t="str">
        <f>'Planilha de Composição'!B85</f>
        <v>C.P</v>
      </c>
      <c r="C31" s="1">
        <f>'Planilha de Composição'!C85</f>
        <v>0</v>
      </c>
      <c r="D31" s="348" t="str">
        <f>'Planilha de Composição'!D85</f>
        <v>FORNECIMENTO E INSTALAÇÃO DE TUBULAÇÃO DE COBRE RÍGIDO, INCLUSO CONEXÕES, Diâmetro 3/8", #1/16", COM ISOLAMENTO EM BORRACHA ELASTOMÉRICA</v>
      </c>
      <c r="E31" s="1" t="str">
        <f>'Planilha de Composição'!E85</f>
        <v>m</v>
      </c>
      <c r="F31" s="351">
        <v>130</v>
      </c>
      <c r="G31" s="3">
        <f>'Planilha de Composição'!H85</f>
        <v>34.340000000000003</v>
      </c>
      <c r="H31" s="3">
        <f>'Planilha de Composição'!I85</f>
        <v>23.89</v>
      </c>
      <c r="I31" s="117">
        <f t="shared" ref="I31:I43" si="14">H31+G31</f>
        <v>58.230000000000004</v>
      </c>
      <c r="J31" s="166">
        <f t="shared" ref="J31:K43" si="15">ROUND(G31*$F31,2)</f>
        <v>4464.2</v>
      </c>
      <c r="K31" s="166">
        <f t="shared" si="15"/>
        <v>3105.7</v>
      </c>
      <c r="L31" s="167">
        <f t="shared" ref="L31:L43" si="16">K31+J31</f>
        <v>7569.9</v>
      </c>
      <c r="M31" s="169">
        <f t="shared" si="6"/>
        <v>0.2111176002216073</v>
      </c>
      <c r="N31" s="167">
        <f t="shared" ref="N31:N43" si="17">ROUND(G31*(1+$M31),2)</f>
        <v>41.59</v>
      </c>
      <c r="O31" s="169">
        <f t="shared" ref="O31:O89" si="18">$K$2</f>
        <v>0.26838623884514634</v>
      </c>
      <c r="P31" s="167">
        <f t="shared" ref="P31:P43" si="19">ROUND(H31*(1+$O31),2)</f>
        <v>30.3</v>
      </c>
      <c r="Q31" s="168">
        <f t="shared" ref="Q31:Q43" si="20">P31+N31</f>
        <v>71.89</v>
      </c>
      <c r="R31" s="168">
        <f t="shared" ref="R31:R43" si="21">ROUND(N31*$F31,2)</f>
        <v>5406.7</v>
      </c>
      <c r="S31" s="168">
        <f t="shared" ref="S31:S43" si="22">ROUND(P31*$F31,2)</f>
        <v>3939</v>
      </c>
      <c r="T31" s="168">
        <f t="shared" ref="T31:T43" si="23">S31+R31</f>
        <v>9345.7000000000007</v>
      </c>
    </row>
    <row r="32" spans="1:20" ht="15.75" thickBot="1" x14ac:dyDescent="0.3">
      <c r="A32" s="1" t="str">
        <f>'Planilha de Composição'!A91</f>
        <v>4.2</v>
      </c>
      <c r="B32" s="1" t="str">
        <f>'Planilha de Composição'!B91</f>
        <v>C.P</v>
      </c>
      <c r="C32" s="1">
        <f>'Planilha de Composição'!C91</f>
        <v>0</v>
      </c>
      <c r="D32" s="348" t="str">
        <f>'Planilha de Composição'!D91</f>
        <v>FORNECIMENTO E INSTALAÇÃO DE TUBULAÇÃO DE COBRE RÍGIDO, INCLUSO CONEXÕES, Diâmetro 1/2", #1/16", COM ISOLAMENTO EM BORRACHA ELASTOMÉRICA</v>
      </c>
      <c r="E32" s="1" t="str">
        <f>'Planilha de Composição'!E91</f>
        <v>m</v>
      </c>
      <c r="F32" s="351">
        <v>4</v>
      </c>
      <c r="G32" s="3">
        <f>'Planilha de Composição'!H91</f>
        <v>46.44</v>
      </c>
      <c r="H32" s="3">
        <f>'Planilha de Composição'!I91</f>
        <v>23.89</v>
      </c>
      <c r="I32" s="117">
        <f t="shared" si="14"/>
        <v>70.33</v>
      </c>
      <c r="J32" s="166">
        <f t="shared" si="15"/>
        <v>185.76</v>
      </c>
      <c r="K32" s="166">
        <f t="shared" si="15"/>
        <v>95.56</v>
      </c>
      <c r="L32" s="167">
        <f t="shared" si="16"/>
        <v>281.32</v>
      </c>
      <c r="M32" s="169">
        <f t="shared" si="6"/>
        <v>0.2111176002216073</v>
      </c>
      <c r="N32" s="167">
        <f t="shared" si="17"/>
        <v>56.24</v>
      </c>
      <c r="O32" s="169">
        <f t="shared" si="18"/>
        <v>0.26838623884514634</v>
      </c>
      <c r="P32" s="167">
        <f t="shared" si="19"/>
        <v>30.3</v>
      </c>
      <c r="Q32" s="168">
        <f t="shared" si="20"/>
        <v>86.54</v>
      </c>
      <c r="R32" s="168">
        <f t="shared" si="21"/>
        <v>224.96</v>
      </c>
      <c r="S32" s="168">
        <f t="shared" si="22"/>
        <v>121.2</v>
      </c>
      <c r="T32" s="168">
        <f t="shared" si="23"/>
        <v>346.16</v>
      </c>
    </row>
    <row r="33" spans="1:20" ht="15.75" thickBot="1" x14ac:dyDescent="0.3">
      <c r="A33" s="1" t="str">
        <f>'Planilha de Composição'!A97</f>
        <v>4.3</v>
      </c>
      <c r="B33" s="1" t="str">
        <f>'Planilha de Composição'!B97</f>
        <v>C.P</v>
      </c>
      <c r="C33" s="1">
        <f>'Planilha de Composição'!C97</f>
        <v>0</v>
      </c>
      <c r="D33" s="348" t="str">
        <f>'Planilha de Composição'!D97</f>
        <v>FORNECIMENTO E INSTALAÇÃO DE TUBULAÇÃO DE COBRE RÍGIDO, INCLUSO CONEXÕES, Diâmetro 5/8", #1/16", COM ISOLAMENTO EM BORRACHA ELASTOMÉRICA</v>
      </c>
      <c r="E33" s="1" t="str">
        <f>'Planilha de Composição'!E97</f>
        <v>m</v>
      </c>
      <c r="F33" s="351">
        <v>132</v>
      </c>
      <c r="G33" s="272">
        <f>'Planilha de Composição'!H97</f>
        <v>64.38</v>
      </c>
      <c r="H33" s="272">
        <f>'Planilha de Composição'!I97</f>
        <v>54.61</v>
      </c>
      <c r="I33" s="117">
        <f t="shared" si="14"/>
        <v>118.99</v>
      </c>
      <c r="J33" s="166">
        <f t="shared" si="15"/>
        <v>8498.16</v>
      </c>
      <c r="K33" s="166">
        <f t="shared" si="15"/>
        <v>7208.52</v>
      </c>
      <c r="L33" s="167">
        <f t="shared" si="16"/>
        <v>15706.68</v>
      </c>
      <c r="M33" s="169">
        <f t="shared" si="6"/>
        <v>0.2111176002216073</v>
      </c>
      <c r="N33" s="167">
        <f t="shared" si="17"/>
        <v>77.97</v>
      </c>
      <c r="O33" s="169">
        <f t="shared" si="18"/>
        <v>0.26838623884514634</v>
      </c>
      <c r="P33" s="167">
        <f t="shared" si="19"/>
        <v>69.27</v>
      </c>
      <c r="Q33" s="168">
        <f t="shared" si="20"/>
        <v>147.24</v>
      </c>
      <c r="R33" s="168">
        <f t="shared" si="21"/>
        <v>10292.040000000001</v>
      </c>
      <c r="S33" s="168">
        <f t="shared" si="22"/>
        <v>9143.64</v>
      </c>
      <c r="T33" s="168">
        <f t="shared" si="23"/>
        <v>19435.68</v>
      </c>
    </row>
    <row r="34" spans="1:20" ht="15.75" thickBot="1" x14ac:dyDescent="0.3">
      <c r="A34" s="1" t="str">
        <f>'Planilha de Composição'!A103</f>
        <v>4.4</v>
      </c>
      <c r="B34" s="1" t="str">
        <f>'Planilha de Composição'!B103</f>
        <v>C.P</v>
      </c>
      <c r="C34" s="1">
        <f>'Planilha de Composição'!C103</f>
        <v>0</v>
      </c>
      <c r="D34" s="348" t="str">
        <f>'Planilha de Composição'!D103</f>
        <v>FORNECIMENTO E INSTALAÇÃO DE TUBULAÇÃO DE COBRE RÍGIDO, INCLUSO CONEXÕES, Diâmetro 3/4", #1/16", COM ISOLAMENTO EM BORRACHA ELASTOMÉRICA</v>
      </c>
      <c r="E34" s="1" t="str">
        <f>'Planilha de Composição'!E103</f>
        <v>m</v>
      </c>
      <c r="F34" s="351">
        <v>54</v>
      </c>
      <c r="G34" s="272">
        <f>'Planilha de Composição'!H103</f>
        <v>92.91</v>
      </c>
      <c r="H34" s="272">
        <f>'Planilha de Composição'!I103</f>
        <v>54.61</v>
      </c>
      <c r="I34" s="117">
        <f t="shared" si="14"/>
        <v>147.51999999999998</v>
      </c>
      <c r="J34" s="166">
        <f t="shared" si="15"/>
        <v>5017.1400000000003</v>
      </c>
      <c r="K34" s="166">
        <f t="shared" si="15"/>
        <v>2948.94</v>
      </c>
      <c r="L34" s="167">
        <f t="shared" si="16"/>
        <v>7966.08</v>
      </c>
      <c r="M34" s="169">
        <f t="shared" si="6"/>
        <v>0.2111176002216073</v>
      </c>
      <c r="N34" s="167">
        <f t="shared" si="17"/>
        <v>112.52</v>
      </c>
      <c r="O34" s="169">
        <f t="shared" si="18"/>
        <v>0.26838623884514634</v>
      </c>
      <c r="P34" s="167">
        <f t="shared" si="19"/>
        <v>69.27</v>
      </c>
      <c r="Q34" s="168">
        <f t="shared" si="20"/>
        <v>181.79</v>
      </c>
      <c r="R34" s="168">
        <f t="shared" si="21"/>
        <v>6076.08</v>
      </c>
      <c r="S34" s="168">
        <f t="shared" si="22"/>
        <v>3740.58</v>
      </c>
      <c r="T34" s="168">
        <f t="shared" si="23"/>
        <v>9816.66</v>
      </c>
    </row>
    <row r="35" spans="1:20" ht="15.75" thickBot="1" x14ac:dyDescent="0.3">
      <c r="A35" s="1" t="str">
        <f>'Planilha de Composição'!A109</f>
        <v>4.5</v>
      </c>
      <c r="B35" s="1" t="str">
        <f>'Planilha de Composição'!B109</f>
        <v>C.P</v>
      </c>
      <c r="C35" s="1">
        <f>'Planilha de Composição'!C109</f>
        <v>0</v>
      </c>
      <c r="D35" s="348" t="str">
        <f>'Planilha de Composição'!D109</f>
        <v>FORNECIMENTO E INSTALAÇÃO DE TUBULAÇÃO DE COBRE RÍGIDO, INCLUSO CONEXÕES, Diâmetro 7/8", #1/16", COM ISOLAMENTO EM BORRACHA ELASTOMÉRICA</v>
      </c>
      <c r="E35" s="1" t="str">
        <f>'Planilha de Composição'!E109</f>
        <v>m</v>
      </c>
      <c r="F35" s="351">
        <v>4</v>
      </c>
      <c r="G35" s="272">
        <f>'Planilha de Composição'!H109</f>
        <v>102.83</v>
      </c>
      <c r="H35" s="272">
        <f>'Planilha de Composição'!I109</f>
        <v>54.61</v>
      </c>
      <c r="I35" s="117">
        <f t="shared" si="14"/>
        <v>157.44</v>
      </c>
      <c r="J35" s="166">
        <f t="shared" si="15"/>
        <v>411.32</v>
      </c>
      <c r="K35" s="166">
        <f t="shared" si="15"/>
        <v>218.44</v>
      </c>
      <c r="L35" s="167">
        <f t="shared" si="16"/>
        <v>629.76</v>
      </c>
      <c r="M35" s="169">
        <f t="shared" si="6"/>
        <v>0.2111176002216073</v>
      </c>
      <c r="N35" s="167">
        <f t="shared" si="17"/>
        <v>124.54</v>
      </c>
      <c r="O35" s="169">
        <f t="shared" si="18"/>
        <v>0.26838623884514634</v>
      </c>
      <c r="P35" s="167">
        <f t="shared" si="19"/>
        <v>69.27</v>
      </c>
      <c r="Q35" s="168">
        <f t="shared" si="20"/>
        <v>193.81</v>
      </c>
      <c r="R35" s="168">
        <f t="shared" si="21"/>
        <v>498.16</v>
      </c>
      <c r="S35" s="168">
        <f t="shared" si="22"/>
        <v>277.08</v>
      </c>
      <c r="T35" s="168">
        <f t="shared" si="23"/>
        <v>775.24</v>
      </c>
    </row>
    <row r="36" spans="1:20" ht="15.75" thickBot="1" x14ac:dyDescent="0.3">
      <c r="A36" s="1" t="str">
        <f>'Planilha de Composição'!A115</f>
        <v>4.6</v>
      </c>
      <c r="B36" s="1" t="str">
        <f>'Planilha de Composição'!B115</f>
        <v>C.P</v>
      </c>
      <c r="C36" s="1">
        <f>'Planilha de Composição'!C115</f>
        <v>0</v>
      </c>
      <c r="D36" s="348" t="str">
        <f>'Planilha de Composição'!D115</f>
        <v>FORNECIMENTO E INSTALAÇÃO DE TUBULAÇÃO DE COBRE RÍGIDO, INCLUSO CONEXÕES, Diâmetro 1", #1/16", COM ISOLAMENTO EM BORRACHA ELASTOMÉRICA</v>
      </c>
      <c r="E36" s="1" t="str">
        <f>'Planilha de Composição'!E115</f>
        <v>m</v>
      </c>
      <c r="F36" s="351">
        <v>2</v>
      </c>
      <c r="G36" s="272">
        <f>'Planilha de Composição'!H115</f>
        <v>129.63</v>
      </c>
      <c r="H36" s="272">
        <f>'Planilha de Composição'!I115</f>
        <v>75.39</v>
      </c>
      <c r="I36" s="117">
        <f t="shared" si="14"/>
        <v>205.01999999999998</v>
      </c>
      <c r="J36" s="166">
        <f t="shared" si="15"/>
        <v>259.26</v>
      </c>
      <c r="K36" s="166">
        <f t="shared" si="15"/>
        <v>150.78</v>
      </c>
      <c r="L36" s="167">
        <f t="shared" si="16"/>
        <v>410.03999999999996</v>
      </c>
      <c r="M36" s="169">
        <f t="shared" si="6"/>
        <v>0.2111176002216073</v>
      </c>
      <c r="N36" s="167">
        <f t="shared" si="17"/>
        <v>157</v>
      </c>
      <c r="O36" s="169">
        <f t="shared" si="18"/>
        <v>0.26838623884514634</v>
      </c>
      <c r="P36" s="167">
        <f t="shared" si="19"/>
        <v>95.62</v>
      </c>
      <c r="Q36" s="168">
        <f t="shared" si="20"/>
        <v>252.62</v>
      </c>
      <c r="R36" s="168">
        <f t="shared" si="21"/>
        <v>314</v>
      </c>
      <c r="S36" s="168">
        <f t="shared" si="22"/>
        <v>191.24</v>
      </c>
      <c r="T36" s="168">
        <f t="shared" si="23"/>
        <v>505.24</v>
      </c>
    </row>
    <row r="37" spans="1:20" ht="15.75" thickBot="1" x14ac:dyDescent="0.3">
      <c r="A37" s="1" t="str">
        <f>'Planilha de Composição'!A121</f>
        <v>4.7</v>
      </c>
      <c r="B37" s="1" t="str">
        <f>'Planilha de Composição'!B121</f>
        <v>C.P</v>
      </c>
      <c r="C37" s="1">
        <f>'Planilha de Composição'!C121</f>
        <v>0</v>
      </c>
      <c r="D37" s="348" t="str">
        <f>'Planilha de Composição'!D121</f>
        <v>FORNECIMENTO E INSTALAÇÃO DE TUBULAÇÃO DE COBRE RÍGIDO, INCLUSO CONEXÕES, Diâmetro 1'1/8", #1/16", COM ISOLAMENTO EM BORRACHA ELASTOMÉRICA</v>
      </c>
      <c r="E37" s="1" t="str">
        <f>'Planilha de Composição'!E121</f>
        <v>m</v>
      </c>
      <c r="F37" s="351">
        <v>10</v>
      </c>
      <c r="G37" s="272">
        <f>'Planilha de Composição'!H121</f>
        <v>141.19999999999999</v>
      </c>
      <c r="H37" s="272">
        <f>'Planilha de Composição'!I121</f>
        <v>75.39</v>
      </c>
      <c r="I37" s="117">
        <f t="shared" si="14"/>
        <v>216.58999999999997</v>
      </c>
      <c r="J37" s="166">
        <f t="shared" si="15"/>
        <v>1412</v>
      </c>
      <c r="K37" s="166">
        <f t="shared" si="15"/>
        <v>753.9</v>
      </c>
      <c r="L37" s="167">
        <f t="shared" si="16"/>
        <v>2165.9</v>
      </c>
      <c r="M37" s="169">
        <f t="shared" si="6"/>
        <v>0.2111176002216073</v>
      </c>
      <c r="N37" s="167">
        <f t="shared" si="17"/>
        <v>171.01</v>
      </c>
      <c r="O37" s="169">
        <f t="shared" si="18"/>
        <v>0.26838623884514634</v>
      </c>
      <c r="P37" s="167">
        <f t="shared" si="19"/>
        <v>95.62</v>
      </c>
      <c r="Q37" s="168">
        <f t="shared" si="20"/>
        <v>266.63</v>
      </c>
      <c r="R37" s="168">
        <f t="shared" si="21"/>
        <v>1710.1</v>
      </c>
      <c r="S37" s="168">
        <f t="shared" si="22"/>
        <v>956.2</v>
      </c>
      <c r="T37" s="168">
        <f t="shared" si="23"/>
        <v>2666.3</v>
      </c>
    </row>
    <row r="38" spans="1:20" ht="15.75" thickBot="1" x14ac:dyDescent="0.3">
      <c r="A38" s="1" t="str">
        <f>'Planilha de Composição'!A127</f>
        <v>4.8</v>
      </c>
      <c r="B38" s="1" t="str">
        <f>'Planilha de Composição'!B127</f>
        <v>C.P</v>
      </c>
      <c r="C38" s="1">
        <f>'Planilha de Composição'!C127</f>
        <v>0</v>
      </c>
      <c r="D38" s="348" t="str">
        <f>'Planilha de Composição'!D127</f>
        <v xml:space="preserve">FORNECIMENTO E INSTALAÇÃO DE TUBULAÇÃO DE COBRE RÍGIDO, INCLUSO CONEXÕES, Diâmetro 1'1/4", #1/16", COM ISOLAMENTO EM BORRACHA ELASTOMÉRICA </v>
      </c>
      <c r="E38" s="1" t="str">
        <f>'Planilha de Composição'!E127</f>
        <v>m</v>
      </c>
      <c r="F38" s="351">
        <v>20</v>
      </c>
      <c r="G38" s="272">
        <f>'Planilha de Composição'!H127</f>
        <v>148.29000000000002</v>
      </c>
      <c r="H38" s="272">
        <f>'Planilha de Composição'!I127</f>
        <v>75.39</v>
      </c>
      <c r="I38" s="117">
        <f t="shared" si="14"/>
        <v>223.68</v>
      </c>
      <c r="J38" s="166">
        <f t="shared" si="15"/>
        <v>2965.8</v>
      </c>
      <c r="K38" s="166">
        <f t="shared" si="15"/>
        <v>1507.8</v>
      </c>
      <c r="L38" s="167">
        <f t="shared" si="16"/>
        <v>4473.6000000000004</v>
      </c>
      <c r="M38" s="169">
        <f t="shared" si="6"/>
        <v>0.2111176002216073</v>
      </c>
      <c r="N38" s="167">
        <f t="shared" si="17"/>
        <v>179.6</v>
      </c>
      <c r="O38" s="169">
        <f t="shared" si="18"/>
        <v>0.26838623884514634</v>
      </c>
      <c r="P38" s="167">
        <f t="shared" si="19"/>
        <v>95.62</v>
      </c>
      <c r="Q38" s="168">
        <f t="shared" si="20"/>
        <v>275.22000000000003</v>
      </c>
      <c r="R38" s="168">
        <f t="shared" si="21"/>
        <v>3592</v>
      </c>
      <c r="S38" s="168">
        <f t="shared" si="22"/>
        <v>1912.4</v>
      </c>
      <c r="T38" s="168">
        <f t="shared" si="23"/>
        <v>5504.4</v>
      </c>
    </row>
    <row r="39" spans="1:20" ht="15.75" thickBot="1" x14ac:dyDescent="0.3">
      <c r="A39" s="1" t="str">
        <f>'Planilha de Composição'!A133</f>
        <v>4.9</v>
      </c>
      <c r="B39" s="1" t="str">
        <f>'Planilha de Composição'!B133</f>
        <v>C.P</v>
      </c>
      <c r="C39" s="1">
        <f>'Planilha de Composição'!C133</f>
        <v>0</v>
      </c>
      <c r="D39" s="348" t="str">
        <f>'Planilha de Composição'!D133</f>
        <v xml:space="preserve">FORNECIMENTO E INSTALAÇÃO DE TUBULAÇÃO DE COBRE RÍGIDO, INCLUSO CONEXÕES, Diâmetro 1'1/2", #1/16", COM ISOLAMENTO EM BORRACHA ELASTOMÉRICA </v>
      </c>
      <c r="E39" s="1" t="str">
        <f>'Planilha de Composição'!E133</f>
        <v>m</v>
      </c>
      <c r="F39" s="351">
        <v>34</v>
      </c>
      <c r="G39" s="272">
        <f>'Planilha de Composição'!H133</f>
        <v>200.47</v>
      </c>
      <c r="H39" s="272">
        <f>'Planilha de Composição'!I133</f>
        <v>80.91</v>
      </c>
      <c r="I39" s="117">
        <f t="shared" si="14"/>
        <v>281.38</v>
      </c>
      <c r="J39" s="166">
        <f t="shared" si="15"/>
        <v>6815.98</v>
      </c>
      <c r="K39" s="166">
        <f t="shared" si="15"/>
        <v>2750.94</v>
      </c>
      <c r="L39" s="167">
        <f t="shared" si="16"/>
        <v>9566.92</v>
      </c>
      <c r="M39" s="169">
        <f t="shared" si="6"/>
        <v>0.2111176002216073</v>
      </c>
      <c r="N39" s="167">
        <f t="shared" si="17"/>
        <v>242.79</v>
      </c>
      <c r="O39" s="169">
        <f t="shared" si="18"/>
        <v>0.26838623884514634</v>
      </c>
      <c r="P39" s="167">
        <f t="shared" si="19"/>
        <v>102.63</v>
      </c>
      <c r="Q39" s="168">
        <f t="shared" si="20"/>
        <v>345.41999999999996</v>
      </c>
      <c r="R39" s="168">
        <f t="shared" si="21"/>
        <v>8254.86</v>
      </c>
      <c r="S39" s="168">
        <f t="shared" si="22"/>
        <v>3489.42</v>
      </c>
      <c r="T39" s="168">
        <f t="shared" si="23"/>
        <v>11744.28</v>
      </c>
    </row>
    <row r="40" spans="1:20" ht="15.75" thickBot="1" x14ac:dyDescent="0.3">
      <c r="A40" s="1" t="str">
        <f>'Planilha de Composição'!A139</f>
        <v>4.10</v>
      </c>
      <c r="B40" s="1" t="str">
        <f>'Planilha de Composição'!B139</f>
        <v>C.P</v>
      </c>
      <c r="C40" s="1">
        <f>'Planilha de Composição'!C139</f>
        <v>0</v>
      </c>
      <c r="D40" s="348" t="str">
        <f>'Planilha de Composição'!D139</f>
        <v>FORNECIMENTO E INSTALAÇÃO DE MANTA DE ALUMÍNIO LISO para Rechapeamento, Incluso Cintas Metálicas e Acessórios de Fixação</v>
      </c>
      <c r="E40" s="1" t="str">
        <f>'Planilha de Composição'!E139</f>
        <v>m²</v>
      </c>
      <c r="F40" s="351">
        <v>8</v>
      </c>
      <c r="G40" s="272">
        <f>'Planilha de Composição'!H139</f>
        <v>9.41</v>
      </c>
      <c r="H40" s="272">
        <f>'Planilha de Composição'!I139</f>
        <v>13.54</v>
      </c>
      <c r="I40" s="117">
        <f t="shared" si="14"/>
        <v>22.95</v>
      </c>
      <c r="J40" s="166">
        <f t="shared" si="15"/>
        <v>75.28</v>
      </c>
      <c r="K40" s="166">
        <f t="shared" si="15"/>
        <v>108.32</v>
      </c>
      <c r="L40" s="167">
        <f t="shared" si="16"/>
        <v>183.6</v>
      </c>
      <c r="M40" s="169">
        <f t="shared" si="6"/>
        <v>0.2111176002216073</v>
      </c>
      <c r="N40" s="167">
        <f t="shared" si="17"/>
        <v>11.4</v>
      </c>
      <c r="O40" s="169">
        <f t="shared" si="18"/>
        <v>0.26838623884514634</v>
      </c>
      <c r="P40" s="167">
        <f t="shared" si="19"/>
        <v>17.170000000000002</v>
      </c>
      <c r="Q40" s="168">
        <f t="shared" si="20"/>
        <v>28.57</v>
      </c>
      <c r="R40" s="168">
        <f t="shared" si="21"/>
        <v>91.2</v>
      </c>
      <c r="S40" s="168">
        <f t="shared" si="22"/>
        <v>137.36000000000001</v>
      </c>
      <c r="T40" s="168">
        <f t="shared" si="23"/>
        <v>228.56</v>
      </c>
    </row>
    <row r="41" spans="1:20" ht="15.75" thickBot="1" x14ac:dyDescent="0.3">
      <c r="A41" s="1" t="str">
        <f>'Planilha de Composição'!A143</f>
        <v>4.11</v>
      </c>
      <c r="B41" s="1" t="str">
        <f>'Planilha de Composição'!B143</f>
        <v>C.P</v>
      </c>
      <c r="C41" s="1">
        <f>'Planilha de Composição'!C143</f>
        <v>0</v>
      </c>
      <c r="D41" s="348" t="str">
        <f>'Planilha de Composição'!D143</f>
        <v>FORNECIMENTO E INSTALAÇÃO DE FLUÍDO REFRIGERANTE R410a</v>
      </c>
      <c r="E41" s="1" t="str">
        <f>'Planilha de Composição'!E143</f>
        <v>kg</v>
      </c>
      <c r="F41" s="351">
        <v>26</v>
      </c>
      <c r="G41" s="272">
        <f>'Planilha de Composição'!H143</f>
        <v>60.63</v>
      </c>
      <c r="H41" s="272">
        <f>'Planilha de Composição'!I143</f>
        <v>14.719999999999999</v>
      </c>
      <c r="I41" s="117">
        <f t="shared" si="14"/>
        <v>75.349999999999994</v>
      </c>
      <c r="J41" s="166">
        <f t="shared" si="15"/>
        <v>1576.38</v>
      </c>
      <c r="K41" s="166">
        <f t="shared" si="15"/>
        <v>382.72</v>
      </c>
      <c r="L41" s="167">
        <f t="shared" si="16"/>
        <v>1959.1000000000001</v>
      </c>
      <c r="M41" s="169">
        <f t="shared" si="6"/>
        <v>0.2111176002216073</v>
      </c>
      <c r="N41" s="167">
        <f t="shared" si="17"/>
        <v>73.430000000000007</v>
      </c>
      <c r="O41" s="169">
        <f t="shared" si="18"/>
        <v>0.26838623884514634</v>
      </c>
      <c r="P41" s="167">
        <f t="shared" si="19"/>
        <v>18.670000000000002</v>
      </c>
      <c r="Q41" s="168">
        <f t="shared" si="20"/>
        <v>92.100000000000009</v>
      </c>
      <c r="R41" s="168">
        <f t="shared" si="21"/>
        <v>1909.18</v>
      </c>
      <c r="S41" s="168">
        <f t="shared" si="22"/>
        <v>485.42</v>
      </c>
      <c r="T41" s="168">
        <f t="shared" si="23"/>
        <v>2394.6</v>
      </c>
    </row>
    <row r="42" spans="1:20" ht="15.75" thickBot="1" x14ac:dyDescent="0.3">
      <c r="A42" s="1" t="str">
        <f>'Planilha de Composição'!A147</f>
        <v>4.12</v>
      </c>
      <c r="B42" s="1" t="str">
        <f>'Planilha de Composição'!B147</f>
        <v>C.P</v>
      </c>
      <c r="C42" s="1">
        <f>'Planilha de Composição'!C147</f>
        <v>0</v>
      </c>
      <c r="D42" s="348" t="str">
        <f>'Planilha de Composição'!D147</f>
        <v>FORNECIMENTO E INSTALAÇÃO DE VÁLVULA DE SERVIÇO, diâmetro 3/8", GBC Danfoss ou equivalente.</v>
      </c>
      <c r="E42" s="1" t="str">
        <f>'Planilha de Composição'!E147</f>
        <v>un</v>
      </c>
      <c r="F42" s="351">
        <v>15</v>
      </c>
      <c r="G42" s="272">
        <f>'Planilha de Composição'!H147</f>
        <v>139</v>
      </c>
      <c r="H42" s="272">
        <f>'Planilha de Composição'!I147</f>
        <v>51.25</v>
      </c>
      <c r="I42" s="117">
        <f t="shared" si="14"/>
        <v>190.25</v>
      </c>
      <c r="J42" s="166">
        <f t="shared" si="15"/>
        <v>2085</v>
      </c>
      <c r="K42" s="166">
        <f t="shared" si="15"/>
        <v>768.75</v>
      </c>
      <c r="L42" s="167">
        <f t="shared" si="16"/>
        <v>2853.75</v>
      </c>
      <c r="M42" s="169">
        <f t="shared" si="6"/>
        <v>0.2111176002216073</v>
      </c>
      <c r="N42" s="167">
        <f t="shared" si="17"/>
        <v>168.35</v>
      </c>
      <c r="O42" s="169">
        <f t="shared" si="18"/>
        <v>0.26838623884514634</v>
      </c>
      <c r="P42" s="167">
        <f t="shared" si="19"/>
        <v>65</v>
      </c>
      <c r="Q42" s="168">
        <f t="shared" si="20"/>
        <v>233.35</v>
      </c>
      <c r="R42" s="168">
        <f t="shared" si="21"/>
        <v>2525.25</v>
      </c>
      <c r="S42" s="168">
        <f t="shared" si="22"/>
        <v>975</v>
      </c>
      <c r="T42" s="168">
        <f t="shared" si="23"/>
        <v>3500.25</v>
      </c>
    </row>
    <row r="43" spans="1:20" ht="15.75" thickBot="1" x14ac:dyDescent="0.3">
      <c r="A43" s="1" t="str">
        <f>'Planilha de Composição'!A151</f>
        <v>4.13</v>
      </c>
      <c r="B43" s="1" t="str">
        <f>'Planilha de Composição'!B151</f>
        <v>C.P</v>
      </c>
      <c r="C43" s="1">
        <f>'Planilha de Composição'!C151</f>
        <v>0</v>
      </c>
      <c r="D43" s="348" t="str">
        <f>'Planilha de Composição'!D151</f>
        <v>FORNECIMENTO E INSTALAÇÃO DE VÁLVULA DE SERVIÇO, diâmetro 5/8", GBC Danfos ou equivalente</v>
      </c>
      <c r="E43" s="1" t="str">
        <f>'Planilha de Composição'!E151</f>
        <v>un</v>
      </c>
      <c r="F43" s="351">
        <v>15</v>
      </c>
      <c r="G43" s="272">
        <f>'Planilha de Composição'!H151</f>
        <v>198</v>
      </c>
      <c r="H43" s="272">
        <f>'Planilha de Composição'!I151</f>
        <v>51.25</v>
      </c>
      <c r="I43" s="117">
        <f t="shared" si="14"/>
        <v>249.25</v>
      </c>
      <c r="J43" s="166">
        <f t="shared" si="15"/>
        <v>2970</v>
      </c>
      <c r="K43" s="166">
        <f t="shared" si="15"/>
        <v>768.75</v>
      </c>
      <c r="L43" s="167">
        <f t="shared" si="16"/>
        <v>3738.75</v>
      </c>
      <c r="M43" s="169">
        <f t="shared" si="6"/>
        <v>0.2111176002216073</v>
      </c>
      <c r="N43" s="167">
        <f t="shared" si="17"/>
        <v>239.8</v>
      </c>
      <c r="O43" s="169">
        <f t="shared" si="18"/>
        <v>0.26838623884514634</v>
      </c>
      <c r="P43" s="167">
        <f t="shared" si="19"/>
        <v>65</v>
      </c>
      <c r="Q43" s="168">
        <f t="shared" si="20"/>
        <v>304.8</v>
      </c>
      <c r="R43" s="168">
        <f t="shared" si="21"/>
        <v>3597</v>
      </c>
      <c r="S43" s="168">
        <f t="shared" si="22"/>
        <v>975</v>
      </c>
      <c r="T43" s="168">
        <f t="shared" si="23"/>
        <v>4572</v>
      </c>
    </row>
    <row r="44" spans="1:20" ht="15.75" thickBot="1" x14ac:dyDescent="0.3">
      <c r="A44" s="55">
        <f>'Planilha de Composição'!A155</f>
        <v>5</v>
      </c>
      <c r="B44" s="50"/>
      <c r="C44" s="51"/>
      <c r="D44" s="349" t="str">
        <f>'Planilha de Composição'!D155</f>
        <v>Redes de Distribuição de Ar - Dutos de Ar Externo e Acessórios</v>
      </c>
      <c r="E44" s="61"/>
      <c r="F44" s="61"/>
      <c r="G44" s="62"/>
      <c r="H44" s="62"/>
      <c r="I44" s="62"/>
      <c r="J44" s="62">
        <f>SUM(J45:J49)</f>
        <v>10806.779999999999</v>
      </c>
      <c r="K44" s="62">
        <f>SUM(K45:K49)</f>
        <v>8675.1299999999992</v>
      </c>
      <c r="L44" s="62">
        <f>SUM(L45:L49)</f>
        <v>19481.91</v>
      </c>
      <c r="M44" s="75">
        <f>$L$2</f>
        <v>0.2111176002216073</v>
      </c>
      <c r="N44" s="70"/>
      <c r="O44" s="75">
        <f>$K$2</f>
        <v>0.26838623884514634</v>
      </c>
      <c r="P44" s="70"/>
      <c r="Q44" s="62"/>
      <c r="R44" s="62">
        <f>SUM(R45:R49)</f>
        <v>13088.35</v>
      </c>
      <c r="S44" s="62">
        <f>SUM(S45:S49)</f>
        <v>11003.720000000001</v>
      </c>
      <c r="T44" s="62">
        <f>SUM(T45:T49)</f>
        <v>24092.07</v>
      </c>
    </row>
    <row r="45" spans="1:20" ht="15.75" thickBot="1" x14ac:dyDescent="0.3">
      <c r="A45" s="1" t="str">
        <f>'Planilha de Composição'!A156</f>
        <v>5.1</v>
      </c>
      <c r="B45" s="1" t="str">
        <f>'Planilha de Composição'!B156</f>
        <v>C.P</v>
      </c>
      <c r="C45" s="1">
        <f>'Planilha de Composição'!C156</f>
        <v>0</v>
      </c>
      <c r="D45" s="348" t="str">
        <f>'Planilha de Composição'!D156</f>
        <v>FORNECIMENTO, FABRICAÇÃO E MONTAGEM DE DUTOS DE AR em MPU/ALUPIR #20mm</v>
      </c>
      <c r="E45" s="1" t="str">
        <f>'Planilha de Composição'!E156</f>
        <v>m²</v>
      </c>
      <c r="F45" s="351">
        <v>65</v>
      </c>
      <c r="G45" s="3">
        <f>'Planilha de Composição'!H156</f>
        <v>133.62</v>
      </c>
      <c r="H45" s="3">
        <f>'Planilha de Composição'!I156</f>
        <v>104.75999999999999</v>
      </c>
      <c r="I45" s="117">
        <f>H45+G45</f>
        <v>238.38</v>
      </c>
      <c r="J45" s="166">
        <f t="shared" ref="J45:K49" si="24">ROUND(G45*$F45,2)</f>
        <v>8685.2999999999993</v>
      </c>
      <c r="K45" s="166">
        <f t="shared" si="24"/>
        <v>6809.4</v>
      </c>
      <c r="L45" s="167">
        <f>K45+J45</f>
        <v>15494.699999999999</v>
      </c>
      <c r="M45" s="169">
        <f t="shared" si="6"/>
        <v>0.2111176002216073</v>
      </c>
      <c r="N45" s="167">
        <f>ROUND(G45*(1+$M45),2)</f>
        <v>161.83000000000001</v>
      </c>
      <c r="O45" s="169">
        <f t="shared" si="18"/>
        <v>0.26838623884514634</v>
      </c>
      <c r="P45" s="167">
        <f>ROUND(H45*(1+$O45),2)</f>
        <v>132.88</v>
      </c>
      <c r="Q45" s="168">
        <f>P45+N45</f>
        <v>294.71000000000004</v>
      </c>
      <c r="R45" s="168">
        <f>ROUND(N45*$F45,2)</f>
        <v>10518.95</v>
      </c>
      <c r="S45" s="168">
        <f>ROUND(P45*$F45,2)</f>
        <v>8637.2000000000007</v>
      </c>
      <c r="T45" s="168">
        <f>S45+R45</f>
        <v>19156.150000000001</v>
      </c>
    </row>
    <row r="46" spans="1:20" ht="15.75" thickBot="1" x14ac:dyDescent="0.3">
      <c r="A46" s="1" t="str">
        <f>'Planilha de Composição'!A163</f>
        <v>5.2</v>
      </c>
      <c r="B46" s="1" t="str">
        <f>'Planilha de Composição'!B163</f>
        <v>C.P</v>
      </c>
      <c r="C46" s="1">
        <f>'Planilha de Composição'!C163</f>
        <v>0</v>
      </c>
      <c r="D46" s="348" t="str">
        <f>'Planilha de Composição'!D163</f>
        <v>FORNECIMENTO E INSTALAÇÃO de Porta de Inspeção para Duto, Pré-Fabricada, Dimensões 250x120mm, fabricação Refrin ou equivalente</v>
      </c>
      <c r="E46" s="1" t="str">
        <f>'Planilha de Composição'!E163</f>
        <v>un</v>
      </c>
      <c r="F46" s="351">
        <v>4</v>
      </c>
      <c r="G46" s="3">
        <f>'Planilha de Composição'!H163</f>
        <v>182.67</v>
      </c>
      <c r="H46" s="3">
        <f>'Planilha de Composição'!I163</f>
        <v>72.67</v>
      </c>
      <c r="I46" s="117">
        <f>H46+G46</f>
        <v>255.33999999999997</v>
      </c>
      <c r="J46" s="166">
        <f t="shared" si="24"/>
        <v>730.68</v>
      </c>
      <c r="K46" s="166">
        <f t="shared" si="24"/>
        <v>290.68</v>
      </c>
      <c r="L46" s="167">
        <f>K46+J46</f>
        <v>1021.3599999999999</v>
      </c>
      <c r="M46" s="169">
        <f t="shared" si="6"/>
        <v>0.2111176002216073</v>
      </c>
      <c r="N46" s="167">
        <f>ROUND(G46*(1+$M46),2)</f>
        <v>221.23</v>
      </c>
      <c r="O46" s="169">
        <f t="shared" si="18"/>
        <v>0.26838623884514634</v>
      </c>
      <c r="P46" s="167">
        <f>ROUND(H46*(1+$O46),2)</f>
        <v>92.17</v>
      </c>
      <c r="Q46" s="168">
        <f>P46+N46</f>
        <v>313.39999999999998</v>
      </c>
      <c r="R46" s="168">
        <f>ROUND(N46*$F46,2)</f>
        <v>884.92</v>
      </c>
      <c r="S46" s="168">
        <f>ROUND(P46*$F46,2)</f>
        <v>368.68</v>
      </c>
      <c r="T46" s="168">
        <f>S46+R46</f>
        <v>1253.5999999999999</v>
      </c>
    </row>
    <row r="47" spans="1:20" ht="15.75" thickBot="1" x14ac:dyDescent="0.3">
      <c r="A47" s="1" t="str">
        <f>'Planilha de Composição'!A167</f>
        <v>5.3</v>
      </c>
      <c r="B47" s="1" t="str">
        <f>'Planilha de Composição'!B167</f>
        <v>C.P</v>
      </c>
      <c r="C47" s="1">
        <f>'Planilha de Composição'!C167</f>
        <v>0</v>
      </c>
      <c r="D47" s="348" t="str">
        <f>'Planilha de Composição'!D167</f>
        <v>FORNECIMENTO E INSTALAÇÃO de Grelha de Insuflamento/Retorno, Mod. VAT-DG, Dimensões 225x165mm, fabricação Trox ou equivalente</v>
      </c>
      <c r="E47" s="1" t="str">
        <f>'Planilha de Composição'!E167</f>
        <v>un</v>
      </c>
      <c r="F47" s="351">
        <v>15</v>
      </c>
      <c r="G47" s="3">
        <f>'Planilha de Composição'!H167</f>
        <v>79.7</v>
      </c>
      <c r="H47" s="3">
        <f>'Planilha de Composição'!I167</f>
        <v>92.65</v>
      </c>
      <c r="I47" s="117">
        <f>H47+G47</f>
        <v>172.35000000000002</v>
      </c>
      <c r="J47" s="166">
        <f t="shared" si="24"/>
        <v>1195.5</v>
      </c>
      <c r="K47" s="166">
        <f t="shared" si="24"/>
        <v>1389.75</v>
      </c>
      <c r="L47" s="167">
        <f>K47+J47</f>
        <v>2585.25</v>
      </c>
      <c r="M47" s="169">
        <f t="shared" si="6"/>
        <v>0.2111176002216073</v>
      </c>
      <c r="N47" s="167">
        <f>ROUND(G47*(1+$M47),2)</f>
        <v>96.53</v>
      </c>
      <c r="O47" s="169">
        <f t="shared" si="18"/>
        <v>0.26838623884514634</v>
      </c>
      <c r="P47" s="167">
        <f>ROUND(H47*(1+$O47),2)</f>
        <v>117.52</v>
      </c>
      <c r="Q47" s="168">
        <f>P47+N47</f>
        <v>214.05</v>
      </c>
      <c r="R47" s="168">
        <f>ROUND(N47*$F47,2)</f>
        <v>1447.95</v>
      </c>
      <c r="S47" s="168">
        <f>ROUND(P47*$F47,2)</f>
        <v>1762.8</v>
      </c>
      <c r="T47" s="168">
        <f>S47+R47</f>
        <v>3210.75</v>
      </c>
    </row>
    <row r="48" spans="1:20" ht="15.75" thickBot="1" x14ac:dyDescent="0.3">
      <c r="A48" s="1" t="str">
        <f>'Planilha de Composição'!A171</f>
        <v>5.4</v>
      </c>
      <c r="B48" s="1" t="str">
        <f>'Planilha de Composição'!B171</f>
        <v>C.P</v>
      </c>
      <c r="C48" s="1">
        <f>'Planilha de Composição'!C171</f>
        <v>0</v>
      </c>
      <c r="D48" s="348" t="str">
        <f>'Planilha de Composição'!D171</f>
        <v>FORNECIMENTO E INSTALAÇÃO de Damper de Regulagem, Mod. JN-B, Dimensões 200x250mm, fabricação Trox ou equivalente</v>
      </c>
      <c r="E48" s="1" t="str">
        <f>'Planilha de Composição'!E171</f>
        <v>un</v>
      </c>
      <c r="F48" s="351">
        <v>1</v>
      </c>
      <c r="G48" s="3">
        <f>'Planilha de Composição'!H171</f>
        <v>107.59</v>
      </c>
      <c r="H48" s="3">
        <f>'Planilha de Composição'!I171</f>
        <v>92.65</v>
      </c>
      <c r="I48" s="117">
        <f>H48+G48</f>
        <v>200.24</v>
      </c>
      <c r="J48" s="166">
        <f t="shared" si="24"/>
        <v>107.59</v>
      </c>
      <c r="K48" s="166">
        <f t="shared" si="24"/>
        <v>92.65</v>
      </c>
      <c r="L48" s="167">
        <f>K48+J48</f>
        <v>200.24</v>
      </c>
      <c r="M48" s="169">
        <f t="shared" si="6"/>
        <v>0.2111176002216073</v>
      </c>
      <c r="N48" s="167">
        <f>ROUND(G48*(1+$M48),2)</f>
        <v>130.30000000000001</v>
      </c>
      <c r="O48" s="169">
        <f t="shared" si="18"/>
        <v>0.26838623884514634</v>
      </c>
      <c r="P48" s="167">
        <f>ROUND(H48*(1+$O48),2)</f>
        <v>117.52</v>
      </c>
      <c r="Q48" s="168">
        <f>P48+N48</f>
        <v>247.82</v>
      </c>
      <c r="R48" s="168">
        <f>ROUND(N48*$F48,2)</f>
        <v>130.30000000000001</v>
      </c>
      <c r="S48" s="168">
        <f>ROUND(P48*$F48,2)</f>
        <v>117.52</v>
      </c>
      <c r="T48" s="168">
        <f>S48+R48</f>
        <v>247.82</v>
      </c>
    </row>
    <row r="49" spans="1:20" ht="15.75" thickBot="1" x14ac:dyDescent="0.3">
      <c r="A49" s="1" t="str">
        <f>'Planilha de Composição'!A175</f>
        <v>5.5</v>
      </c>
      <c r="B49" s="1" t="str">
        <f>'Planilha de Composição'!B175</f>
        <v>C.P</v>
      </c>
      <c r="C49" s="1">
        <f>'Planilha de Composição'!C175</f>
        <v>0</v>
      </c>
      <c r="D49" s="348" t="str">
        <f>'Planilha de Composição'!D175</f>
        <v>FORNECIMENTO E INSTALAÇÃO de Veneziana para Tomada de Ar Externo, Mod. AWG, Dimensões 397x197mm, fabricação Trox ou equivalente</v>
      </c>
      <c r="E49" s="1" t="str">
        <f>'Planilha de Composição'!E175</f>
        <v>un</v>
      </c>
      <c r="F49" s="351">
        <v>1</v>
      </c>
      <c r="G49" s="3">
        <f>'Planilha de Composição'!H175</f>
        <v>87.71</v>
      </c>
      <c r="H49" s="3">
        <f>'Planilha de Composição'!I175</f>
        <v>92.65</v>
      </c>
      <c r="I49" s="117">
        <f>H49+G49</f>
        <v>180.36</v>
      </c>
      <c r="J49" s="166">
        <f t="shared" si="24"/>
        <v>87.71</v>
      </c>
      <c r="K49" s="166">
        <f t="shared" si="24"/>
        <v>92.65</v>
      </c>
      <c r="L49" s="167">
        <f>K49+J49</f>
        <v>180.36</v>
      </c>
      <c r="M49" s="169">
        <f t="shared" si="6"/>
        <v>0.2111176002216073</v>
      </c>
      <c r="N49" s="167">
        <f>ROUND(G49*(1+$M49),2)</f>
        <v>106.23</v>
      </c>
      <c r="O49" s="169">
        <f t="shared" si="18"/>
        <v>0.26838623884514634</v>
      </c>
      <c r="P49" s="167">
        <f>ROUND(H49*(1+$O49),2)</f>
        <v>117.52</v>
      </c>
      <c r="Q49" s="168">
        <f>P49+N49</f>
        <v>223.75</v>
      </c>
      <c r="R49" s="168">
        <f>ROUND(N49*$F49,2)</f>
        <v>106.23</v>
      </c>
      <c r="S49" s="168">
        <f>ROUND(P49*$F49,2)</f>
        <v>117.52</v>
      </c>
      <c r="T49" s="168">
        <f>S49+R49</f>
        <v>223.75</v>
      </c>
    </row>
    <row r="50" spans="1:20" ht="15.75" thickBot="1" x14ac:dyDescent="0.3">
      <c r="A50" s="55">
        <f>'Planilha de Composição'!A179</f>
        <v>6</v>
      </c>
      <c r="B50" s="50"/>
      <c r="C50" s="51"/>
      <c r="D50" s="349" t="str">
        <f>'Planilha de Composição'!D179</f>
        <v>Instalações Elétricas - QFAC, Circuitos Terminais e Circuitos de Sinal entre Unidades I Automação</v>
      </c>
      <c r="E50" s="61"/>
      <c r="F50" s="61"/>
      <c r="G50" s="62"/>
      <c r="H50" s="62"/>
      <c r="I50" s="62"/>
      <c r="J50" s="62">
        <f>SUM(J51:J63)</f>
        <v>33453.78</v>
      </c>
      <c r="K50" s="62">
        <f>SUM(K51:K63)</f>
        <v>17697.220000000005</v>
      </c>
      <c r="L50" s="62">
        <f>SUM(L51:L63)</f>
        <v>51150.999999999993</v>
      </c>
      <c r="M50" s="75">
        <f>$L$2</f>
        <v>0.2111176002216073</v>
      </c>
      <c r="N50" s="70"/>
      <c r="O50" s="75">
        <f>$K$2</f>
        <v>0.26838623884514634</v>
      </c>
      <c r="P50" s="70"/>
      <c r="Q50" s="62"/>
      <c r="R50" s="62">
        <f>SUM(R51:R63)</f>
        <v>40513.870000000003</v>
      </c>
      <c r="S50" s="62">
        <f>SUM(S51:S63)</f>
        <v>22448.730000000003</v>
      </c>
      <c r="T50" s="62">
        <f>SUM(T51:T63)</f>
        <v>62962.600000000006</v>
      </c>
    </row>
    <row r="51" spans="1:20" ht="15.75" thickBot="1" x14ac:dyDescent="0.3">
      <c r="A51" s="1" t="str">
        <f>'Planilha de Composição'!A180</f>
        <v>6.1</v>
      </c>
      <c r="B51" s="1" t="str">
        <f>'Planilha de Composição'!B180</f>
        <v>C.P</v>
      </c>
      <c r="C51" s="1">
        <f>'Planilha de Composição'!C180</f>
        <v>0</v>
      </c>
      <c r="D51" s="348" t="str">
        <f>'Planilha de Composição'!D180</f>
        <v>Quadro Elétrico - QF-AC - FORNECIMENTO E INSTALAÇÃO</v>
      </c>
      <c r="E51" s="1" t="str">
        <f>'Planilha de Composição'!E180</f>
        <v>un</v>
      </c>
      <c r="F51" s="351">
        <v>1</v>
      </c>
      <c r="G51" s="3">
        <f>'Planilha de Composição'!H180</f>
        <v>8857.98</v>
      </c>
      <c r="H51" s="3">
        <f>'Planilha de Composição'!I180</f>
        <v>1580.48</v>
      </c>
      <c r="I51" s="117">
        <f t="shared" ref="I51:I63" si="25">H51+G51</f>
        <v>10438.459999999999</v>
      </c>
      <c r="J51" s="166">
        <f t="shared" ref="J51:K63" si="26">ROUND(G51*$F51,2)</f>
        <v>8857.98</v>
      </c>
      <c r="K51" s="166">
        <f t="shared" si="26"/>
        <v>1580.48</v>
      </c>
      <c r="L51" s="167">
        <f t="shared" ref="L51:L63" si="27">K51+J51</f>
        <v>10438.459999999999</v>
      </c>
      <c r="M51" s="169">
        <f t="shared" si="6"/>
        <v>0.2111176002216073</v>
      </c>
      <c r="N51" s="167">
        <f t="shared" ref="N51:N63" si="28">ROUND(G51*(1+$M51),2)</f>
        <v>10728.06</v>
      </c>
      <c r="O51" s="169">
        <f t="shared" si="18"/>
        <v>0.26838623884514634</v>
      </c>
      <c r="P51" s="167">
        <f t="shared" ref="P51:P63" si="29">ROUND(H51*(1+$O51),2)</f>
        <v>2004.66</v>
      </c>
      <c r="Q51" s="168">
        <f t="shared" ref="Q51:Q63" si="30">P51+N51</f>
        <v>12732.72</v>
      </c>
      <c r="R51" s="168">
        <f t="shared" ref="R51:R63" si="31">ROUND(N51*$F51,2)</f>
        <v>10728.06</v>
      </c>
      <c r="S51" s="168">
        <f t="shared" ref="S51:S63" si="32">ROUND(P51*$F51,2)</f>
        <v>2004.66</v>
      </c>
      <c r="T51" s="168">
        <f t="shared" ref="T51:T63" si="33">S51+R51</f>
        <v>12732.72</v>
      </c>
    </row>
    <row r="52" spans="1:20" ht="15.75" thickBot="1" x14ac:dyDescent="0.3">
      <c r="A52" s="1" t="str">
        <f>'Planilha de Composição'!A185</f>
        <v>6.2</v>
      </c>
      <c r="B52" s="1" t="str">
        <f>'Planilha de Composição'!B185</f>
        <v>C.P</v>
      </c>
      <c r="C52" s="1">
        <f>'Planilha de Composição'!C185</f>
        <v>0</v>
      </c>
      <c r="D52" s="348" t="str">
        <f>'Planilha de Composição'!D185</f>
        <v>DISJUNTOR TRIPOLAR EM CAIXA MOLDADA, 125,00A, Icc = 18kA - FORNECIMENTO E INSTALAÇÃO</v>
      </c>
      <c r="E52" s="1" t="str">
        <f>'Planilha de Composição'!E185</f>
        <v>un</v>
      </c>
      <c r="F52" s="351">
        <v>1</v>
      </c>
      <c r="G52" s="3">
        <f>'Planilha de Composição'!H185</f>
        <v>458.96</v>
      </c>
      <c r="H52" s="3">
        <f>'Planilha de Composição'!I185</f>
        <v>85.39</v>
      </c>
      <c r="I52" s="117">
        <f t="shared" si="25"/>
        <v>544.35</v>
      </c>
      <c r="J52" s="166">
        <f t="shared" si="26"/>
        <v>458.96</v>
      </c>
      <c r="K52" s="166">
        <f t="shared" si="26"/>
        <v>85.39</v>
      </c>
      <c r="L52" s="167">
        <f t="shared" si="27"/>
        <v>544.35</v>
      </c>
      <c r="M52" s="169">
        <f t="shared" si="6"/>
        <v>0.2111176002216073</v>
      </c>
      <c r="N52" s="167">
        <f t="shared" si="28"/>
        <v>555.85</v>
      </c>
      <c r="O52" s="169">
        <f t="shared" si="18"/>
        <v>0.26838623884514634</v>
      </c>
      <c r="P52" s="167">
        <f t="shared" si="29"/>
        <v>108.31</v>
      </c>
      <c r="Q52" s="168">
        <f t="shared" si="30"/>
        <v>664.16000000000008</v>
      </c>
      <c r="R52" s="168">
        <f t="shared" si="31"/>
        <v>555.85</v>
      </c>
      <c r="S52" s="168">
        <f t="shared" si="32"/>
        <v>108.31</v>
      </c>
      <c r="T52" s="168">
        <f t="shared" si="33"/>
        <v>664.16000000000008</v>
      </c>
    </row>
    <row r="53" spans="1:20" ht="15.75" thickBot="1" x14ac:dyDescent="0.3">
      <c r="A53" s="1" t="str">
        <f>'Planilha de Composição'!A189</f>
        <v>6.3</v>
      </c>
      <c r="B53" s="1" t="str">
        <f>'Planilha de Composição'!B189</f>
        <v>C.P</v>
      </c>
      <c r="C53" s="1">
        <f>'Planilha de Composição'!C189</f>
        <v>0</v>
      </c>
      <c r="D53" s="348" t="str">
        <f>'Planilha de Composição'!D189</f>
        <v>FORNECIMENTO E INSTALAÇÃO DE ELETRODUTO EM AÇO GALVANIZADO SEMI-PESADO, INCLUINDO CONEXÕES, D.N. 1'1/2"</v>
      </c>
      <c r="E53" s="1" t="str">
        <f>'Planilha de Composição'!E189</f>
        <v>m</v>
      </c>
      <c r="F53" s="351">
        <v>47</v>
      </c>
      <c r="G53" s="3">
        <f>'Planilha de Composição'!H189</f>
        <v>78.62</v>
      </c>
      <c r="H53" s="3">
        <f>'Planilha de Composição'!I189</f>
        <v>48.4</v>
      </c>
      <c r="I53" s="117">
        <f t="shared" si="25"/>
        <v>127.02000000000001</v>
      </c>
      <c r="J53" s="166">
        <f t="shared" si="26"/>
        <v>3695.14</v>
      </c>
      <c r="K53" s="166">
        <f t="shared" si="26"/>
        <v>2274.8000000000002</v>
      </c>
      <c r="L53" s="167">
        <f t="shared" si="27"/>
        <v>5969.9400000000005</v>
      </c>
      <c r="M53" s="169">
        <f t="shared" si="6"/>
        <v>0.2111176002216073</v>
      </c>
      <c r="N53" s="167">
        <f t="shared" si="28"/>
        <v>95.22</v>
      </c>
      <c r="O53" s="169">
        <f t="shared" si="18"/>
        <v>0.26838623884514634</v>
      </c>
      <c r="P53" s="167">
        <f t="shared" si="29"/>
        <v>61.39</v>
      </c>
      <c r="Q53" s="168">
        <f t="shared" si="30"/>
        <v>156.61000000000001</v>
      </c>
      <c r="R53" s="168">
        <f t="shared" si="31"/>
        <v>4475.34</v>
      </c>
      <c r="S53" s="168">
        <f t="shared" si="32"/>
        <v>2885.33</v>
      </c>
      <c r="T53" s="168">
        <f t="shared" si="33"/>
        <v>7360.67</v>
      </c>
    </row>
    <row r="54" spans="1:20" ht="15.75" thickBot="1" x14ac:dyDescent="0.3">
      <c r="A54" s="1" t="str">
        <f>'Planilha de Composição'!A194</f>
        <v>6.4</v>
      </c>
      <c r="B54" s="1" t="str">
        <f>'Planilha de Composição'!B194</f>
        <v>C.P</v>
      </c>
      <c r="C54" s="1">
        <f>'Planilha de Composição'!C194</f>
        <v>0</v>
      </c>
      <c r="D54" s="348" t="str">
        <f>'Planilha de Composição'!D194</f>
        <v>FORNECIMENTO E INSTALAÇÃO DE ELETRODUTO EM AÇO GALVANIZADO SEMI-PESADO, INCLUINDO CONEXÕES, D.N. 1"</v>
      </c>
      <c r="E54" s="1" t="str">
        <f>'Planilha de Composição'!E194</f>
        <v>m</v>
      </c>
      <c r="F54" s="351">
        <v>60</v>
      </c>
      <c r="G54" s="3">
        <f>'Planilha de Composição'!H194</f>
        <v>44.510000000000005</v>
      </c>
      <c r="H54" s="3">
        <f>'Planilha de Composição'!I194</f>
        <v>32.269999999999996</v>
      </c>
      <c r="I54" s="117">
        <f t="shared" si="25"/>
        <v>76.78</v>
      </c>
      <c r="J54" s="166">
        <f t="shared" si="26"/>
        <v>2670.6</v>
      </c>
      <c r="K54" s="166">
        <f t="shared" si="26"/>
        <v>1936.2</v>
      </c>
      <c r="L54" s="167">
        <f t="shared" si="27"/>
        <v>4606.8</v>
      </c>
      <c r="M54" s="169">
        <f t="shared" si="6"/>
        <v>0.2111176002216073</v>
      </c>
      <c r="N54" s="167">
        <f t="shared" si="28"/>
        <v>53.91</v>
      </c>
      <c r="O54" s="169">
        <f t="shared" si="18"/>
        <v>0.26838623884514634</v>
      </c>
      <c r="P54" s="167">
        <f t="shared" si="29"/>
        <v>40.93</v>
      </c>
      <c r="Q54" s="168">
        <f t="shared" si="30"/>
        <v>94.84</v>
      </c>
      <c r="R54" s="168">
        <f t="shared" si="31"/>
        <v>3234.6</v>
      </c>
      <c r="S54" s="168">
        <f t="shared" si="32"/>
        <v>2455.8000000000002</v>
      </c>
      <c r="T54" s="168">
        <f t="shared" si="33"/>
        <v>5690.4</v>
      </c>
    </row>
    <row r="55" spans="1:20" ht="15.75" thickBot="1" x14ac:dyDescent="0.3">
      <c r="A55" s="1" t="str">
        <f>'Planilha de Composição'!A199</f>
        <v>6.5</v>
      </c>
      <c r="B55" s="1" t="str">
        <f>'Planilha de Composição'!B199</f>
        <v>C.P</v>
      </c>
      <c r="C55" s="1">
        <f>'Planilha de Composição'!C199</f>
        <v>0</v>
      </c>
      <c r="D55" s="348" t="str">
        <f>'Planilha de Composição'!D199</f>
        <v>FORNECIMENTO E INSTALAÇÃO DE ELETRODUTO EM AÇO GALVANIZADO SEMI-PESADO, INCLUINDO CONEXÕES, D.N. 3/4"</v>
      </c>
      <c r="E55" s="1" t="str">
        <f>'Planilha de Composição'!E199</f>
        <v>m</v>
      </c>
      <c r="F55" s="351">
        <v>210</v>
      </c>
      <c r="G55" s="3">
        <f>'Planilha de Composição'!H199</f>
        <v>34.17</v>
      </c>
      <c r="H55" s="3">
        <f>'Planilha de Composição'!I199</f>
        <v>32.269999999999996</v>
      </c>
      <c r="I55" s="117">
        <f t="shared" si="25"/>
        <v>66.44</v>
      </c>
      <c r="J55" s="166">
        <f t="shared" si="26"/>
        <v>7175.7</v>
      </c>
      <c r="K55" s="166">
        <f t="shared" si="26"/>
        <v>6776.7</v>
      </c>
      <c r="L55" s="167">
        <f t="shared" si="27"/>
        <v>13952.4</v>
      </c>
      <c r="M55" s="169">
        <f t="shared" si="6"/>
        <v>0.2111176002216073</v>
      </c>
      <c r="N55" s="167">
        <f t="shared" si="28"/>
        <v>41.38</v>
      </c>
      <c r="O55" s="169">
        <f t="shared" si="18"/>
        <v>0.26838623884514634</v>
      </c>
      <c r="P55" s="167">
        <f t="shared" si="29"/>
        <v>40.93</v>
      </c>
      <c r="Q55" s="168">
        <f t="shared" si="30"/>
        <v>82.31</v>
      </c>
      <c r="R55" s="168">
        <f t="shared" si="31"/>
        <v>8689.7999999999993</v>
      </c>
      <c r="S55" s="168">
        <f t="shared" si="32"/>
        <v>8595.2999999999993</v>
      </c>
      <c r="T55" s="168">
        <f t="shared" si="33"/>
        <v>17285.099999999999</v>
      </c>
    </row>
    <row r="56" spans="1:20" ht="27" thickBot="1" x14ac:dyDescent="0.3">
      <c r="A56" s="1" t="str">
        <f>'Planilha de Composição'!A204</f>
        <v>6.6</v>
      </c>
      <c r="B56" s="1" t="str">
        <f>'Planilha de Composição'!B204</f>
        <v>C.P</v>
      </c>
      <c r="C56" s="1">
        <f>'Planilha de Composição'!C204</f>
        <v>0</v>
      </c>
      <c r="D56" s="348" t="str">
        <f>'Planilha de Composição'!D204</f>
        <v>LIGAÇÃO TERMINAL FLEXÍVEL DE FORÇA E SINAL DAS UNIDADES EVAPORADORAS E CAIXAS DE VENTILAÇÃO, POR SEALTUBE FLEXÍVEL EM AÇO GALVANIZADO, REVESTIMENTO EM PVC", D.N. 3/4", INCLUSO CONECTOR GIRATÓRIO</v>
      </c>
      <c r="E56" s="1" t="str">
        <f>'Planilha de Composição'!E204</f>
        <v>m</v>
      </c>
      <c r="F56" s="351">
        <v>15</v>
      </c>
      <c r="G56" s="3">
        <f>'Planilha de Composição'!H204</f>
        <v>14.08</v>
      </c>
      <c r="H56" s="3">
        <f>'Planilha de Composição'!I204</f>
        <v>6.09</v>
      </c>
      <c r="I56" s="117">
        <f t="shared" si="25"/>
        <v>20.170000000000002</v>
      </c>
      <c r="J56" s="166">
        <f t="shared" si="26"/>
        <v>211.2</v>
      </c>
      <c r="K56" s="166">
        <f t="shared" si="26"/>
        <v>91.35</v>
      </c>
      <c r="L56" s="167">
        <f t="shared" si="27"/>
        <v>302.54999999999995</v>
      </c>
      <c r="M56" s="169">
        <f t="shared" si="6"/>
        <v>0.2111176002216073</v>
      </c>
      <c r="N56" s="167">
        <f t="shared" si="28"/>
        <v>17.05</v>
      </c>
      <c r="O56" s="169">
        <f t="shared" si="18"/>
        <v>0.26838623884514634</v>
      </c>
      <c r="P56" s="167">
        <f t="shared" si="29"/>
        <v>7.72</v>
      </c>
      <c r="Q56" s="168">
        <f t="shared" si="30"/>
        <v>24.77</v>
      </c>
      <c r="R56" s="168">
        <f t="shared" si="31"/>
        <v>255.75</v>
      </c>
      <c r="S56" s="168">
        <f t="shared" si="32"/>
        <v>115.8</v>
      </c>
      <c r="T56" s="168">
        <f t="shared" si="33"/>
        <v>371.55</v>
      </c>
    </row>
    <row r="57" spans="1:20" ht="15.75" thickBot="1" x14ac:dyDescent="0.3">
      <c r="A57" s="1" t="str">
        <f>'Planilha de Composição'!A209</f>
        <v>6.7</v>
      </c>
      <c r="B57" s="1" t="str">
        <f>'Planilha de Composição'!B209</f>
        <v>C.P</v>
      </c>
      <c r="C57" s="1">
        <f>'Planilha de Composição'!C209</f>
        <v>0</v>
      </c>
      <c r="D57" s="348" t="str">
        <f>'Planilha de Composição'!D209</f>
        <v>LIGAÇÃO TERMINAL FLEXÍVEL DE FORÇA E SINAL DAS UNIDADES CONDENSADORAS, POR SEALTUBE FLEXÍVEL EM AÇO GALVANIZADO, REVESTIMENTO EM PVC", D.N. 1", INCLUSO CONECTOR GIRATÓRIO</v>
      </c>
      <c r="E57" s="1" t="str">
        <f>'Planilha de Composição'!E209</f>
        <v>m</v>
      </c>
      <c r="F57" s="351">
        <v>3</v>
      </c>
      <c r="G57" s="3">
        <f>'Planilha de Composição'!H209</f>
        <v>19.53</v>
      </c>
      <c r="H57" s="3">
        <f>'Planilha de Composição'!I209</f>
        <v>6.09</v>
      </c>
      <c r="I57" s="117">
        <f t="shared" si="25"/>
        <v>25.62</v>
      </c>
      <c r="J57" s="166">
        <f t="shared" si="26"/>
        <v>58.59</v>
      </c>
      <c r="K57" s="166">
        <f t="shared" si="26"/>
        <v>18.27</v>
      </c>
      <c r="L57" s="167">
        <f t="shared" si="27"/>
        <v>76.86</v>
      </c>
      <c r="M57" s="169">
        <f t="shared" si="6"/>
        <v>0.2111176002216073</v>
      </c>
      <c r="N57" s="167">
        <f t="shared" si="28"/>
        <v>23.65</v>
      </c>
      <c r="O57" s="169">
        <f t="shared" si="18"/>
        <v>0.26838623884514634</v>
      </c>
      <c r="P57" s="167">
        <f t="shared" si="29"/>
        <v>7.72</v>
      </c>
      <c r="Q57" s="168">
        <f t="shared" si="30"/>
        <v>31.369999999999997</v>
      </c>
      <c r="R57" s="168">
        <f t="shared" si="31"/>
        <v>70.95</v>
      </c>
      <c r="S57" s="168">
        <f t="shared" si="32"/>
        <v>23.16</v>
      </c>
      <c r="T57" s="168">
        <f t="shared" si="33"/>
        <v>94.11</v>
      </c>
    </row>
    <row r="58" spans="1:20" ht="15.75" thickBot="1" x14ac:dyDescent="0.3">
      <c r="A58" s="1" t="str">
        <f>'Planilha de Composição'!A214</f>
        <v>6.8</v>
      </c>
      <c r="B58" s="1" t="str">
        <f>'Planilha de Composição'!B214</f>
        <v>C.P</v>
      </c>
      <c r="C58" s="1">
        <f>'Planilha de Composição'!C214</f>
        <v>0</v>
      </c>
      <c r="D58" s="348" t="str">
        <f>'Planilha de Composição'!D214</f>
        <v>FORNECIMENTO E INSTALAÇÃO DE CABO DE COBRE FLEXÍVEL ISOLADO, 35,0 mm², ANTI-CHAMA, NÃO HALOGENADO, ISOLAÇÃO HEPR, 1,00kV</v>
      </c>
      <c r="E58" s="1" t="str">
        <f>'Planilha de Composição'!E214</f>
        <v>m</v>
      </c>
      <c r="F58" s="351">
        <v>80</v>
      </c>
      <c r="G58" s="3">
        <f>'Planilha de Composição'!H214</f>
        <v>31.64</v>
      </c>
      <c r="H58" s="3">
        <f>'Planilha de Composição'!I214</f>
        <v>9.3500000000000014</v>
      </c>
      <c r="I58" s="117">
        <f t="shared" si="25"/>
        <v>40.99</v>
      </c>
      <c r="J58" s="166">
        <f t="shared" si="26"/>
        <v>2531.1999999999998</v>
      </c>
      <c r="K58" s="166">
        <f t="shared" si="26"/>
        <v>748</v>
      </c>
      <c r="L58" s="167">
        <f t="shared" si="27"/>
        <v>3279.2</v>
      </c>
      <c r="M58" s="169">
        <f t="shared" si="6"/>
        <v>0.2111176002216073</v>
      </c>
      <c r="N58" s="167">
        <f t="shared" si="28"/>
        <v>38.32</v>
      </c>
      <c r="O58" s="169">
        <f t="shared" si="18"/>
        <v>0.26838623884514634</v>
      </c>
      <c r="P58" s="167">
        <f t="shared" si="29"/>
        <v>11.86</v>
      </c>
      <c r="Q58" s="168">
        <f t="shared" si="30"/>
        <v>50.18</v>
      </c>
      <c r="R58" s="168">
        <f t="shared" si="31"/>
        <v>3065.6</v>
      </c>
      <c r="S58" s="168">
        <f t="shared" si="32"/>
        <v>948.8</v>
      </c>
      <c r="T58" s="168">
        <f t="shared" si="33"/>
        <v>4014.3999999999996</v>
      </c>
    </row>
    <row r="59" spans="1:20" ht="15.75" thickBot="1" x14ac:dyDescent="0.3">
      <c r="A59" s="1" t="str">
        <f>'Planilha de Composição'!A219</f>
        <v>6.9</v>
      </c>
      <c r="B59" s="1" t="str">
        <f>'Planilha de Composição'!B219</f>
        <v>C.P</v>
      </c>
      <c r="C59" s="1">
        <f>'Planilha de Composição'!C219</f>
        <v>0</v>
      </c>
      <c r="D59" s="348" t="str">
        <f>'Planilha de Composição'!D219</f>
        <v>FORNECIMENTO E INSTALAÇÃO DE CABO DE COBRE FLEXÍVEL ISOLADO, 25,0 mm², ANTI-CHAMA, NÃO HALOGENADO, ISOLAÇÃO HEPR, 1,00kV</v>
      </c>
      <c r="E59" s="1" t="str">
        <f>'Planilha de Composição'!E219</f>
        <v>m</v>
      </c>
      <c r="F59" s="351">
        <v>20</v>
      </c>
      <c r="G59" s="3">
        <f>'Planilha de Composição'!H219</f>
        <v>23.44</v>
      </c>
      <c r="H59" s="3">
        <f>'Planilha de Composição'!I219</f>
        <v>7.41</v>
      </c>
      <c r="I59" s="117">
        <f t="shared" si="25"/>
        <v>30.85</v>
      </c>
      <c r="J59" s="166">
        <f t="shared" si="26"/>
        <v>468.8</v>
      </c>
      <c r="K59" s="166">
        <f t="shared" si="26"/>
        <v>148.19999999999999</v>
      </c>
      <c r="L59" s="167">
        <f t="shared" si="27"/>
        <v>617</v>
      </c>
      <c r="M59" s="169">
        <f t="shared" si="6"/>
        <v>0.2111176002216073</v>
      </c>
      <c r="N59" s="167">
        <f t="shared" si="28"/>
        <v>28.39</v>
      </c>
      <c r="O59" s="169">
        <f t="shared" si="18"/>
        <v>0.26838623884514634</v>
      </c>
      <c r="P59" s="167">
        <f t="shared" si="29"/>
        <v>9.4</v>
      </c>
      <c r="Q59" s="168">
        <f t="shared" si="30"/>
        <v>37.79</v>
      </c>
      <c r="R59" s="168">
        <f t="shared" si="31"/>
        <v>567.79999999999995</v>
      </c>
      <c r="S59" s="168">
        <f t="shared" si="32"/>
        <v>188</v>
      </c>
      <c r="T59" s="168">
        <f t="shared" si="33"/>
        <v>755.8</v>
      </c>
    </row>
    <row r="60" spans="1:20" ht="15.75" thickBot="1" x14ac:dyDescent="0.3">
      <c r="A60" s="1" t="str">
        <f>'Planilha de Composição'!A224</f>
        <v>6.10</v>
      </c>
      <c r="B60" s="1" t="str">
        <f>'Planilha de Composição'!B224</f>
        <v>C.P</v>
      </c>
      <c r="C60" s="1">
        <f>'Planilha de Composição'!C224</f>
        <v>0</v>
      </c>
      <c r="D60" s="348" t="str">
        <f>'Planilha de Composição'!D224</f>
        <v>FORNECIMENTO E INSTALAÇÃO DE CABO DE COBRE FLEXÍVEL ISOLADO, 10,0 mm², ANTI-CHAMA, NÃO HALOGENADO, ISOLAÇÃO HEPR, 1,00kV</v>
      </c>
      <c r="E60" s="1" t="str">
        <f>'Planilha de Composição'!E224</f>
        <v>m</v>
      </c>
      <c r="F60" s="351">
        <v>348</v>
      </c>
      <c r="G60" s="3">
        <f>'Planilha de Composição'!H224</f>
        <v>9.57</v>
      </c>
      <c r="H60" s="3">
        <f>'Planilha de Composição'!I224</f>
        <v>4.96</v>
      </c>
      <c r="I60" s="117">
        <f t="shared" si="25"/>
        <v>14.530000000000001</v>
      </c>
      <c r="J60" s="166">
        <f t="shared" si="26"/>
        <v>3330.36</v>
      </c>
      <c r="K60" s="166">
        <f t="shared" si="26"/>
        <v>1726.08</v>
      </c>
      <c r="L60" s="167">
        <f t="shared" si="27"/>
        <v>5056.4400000000005</v>
      </c>
      <c r="M60" s="169">
        <f t="shared" si="6"/>
        <v>0.2111176002216073</v>
      </c>
      <c r="N60" s="167">
        <f t="shared" si="28"/>
        <v>11.59</v>
      </c>
      <c r="O60" s="169">
        <f t="shared" si="18"/>
        <v>0.26838623884514634</v>
      </c>
      <c r="P60" s="167">
        <f t="shared" si="29"/>
        <v>6.29</v>
      </c>
      <c r="Q60" s="168">
        <f t="shared" si="30"/>
        <v>17.88</v>
      </c>
      <c r="R60" s="168">
        <f t="shared" si="31"/>
        <v>4033.32</v>
      </c>
      <c r="S60" s="168">
        <f t="shared" si="32"/>
        <v>2188.92</v>
      </c>
      <c r="T60" s="168">
        <f t="shared" si="33"/>
        <v>6222.24</v>
      </c>
    </row>
    <row r="61" spans="1:20" ht="15.75" thickBot="1" x14ac:dyDescent="0.3">
      <c r="A61" s="1" t="str">
        <f>'Planilha de Composição'!A229</f>
        <v>6.11</v>
      </c>
      <c r="B61" s="1" t="str">
        <f>'Planilha de Composição'!B229</f>
        <v>C.P</v>
      </c>
      <c r="C61" s="1">
        <f>'Planilha de Composição'!C229</f>
        <v>0</v>
      </c>
      <c r="D61" s="348" t="str">
        <f>'Planilha de Composição'!D229</f>
        <v>FORNECIMENTO E INSTALAÇÃO DE CABO DE COBRE FLEXÍVEL ISOLADO, 6,0 mm², ANTI-CHAMA, NÃO HALOGENADO, ISOLAMENTO 750V</v>
      </c>
      <c r="E61" s="1" t="str">
        <f>'Planilha de Composição'!E229</f>
        <v>m</v>
      </c>
      <c r="F61" s="351">
        <v>435</v>
      </c>
      <c r="G61" s="3">
        <f>'Planilha de Composição'!H229</f>
        <v>5.2299999999999995</v>
      </c>
      <c r="H61" s="3">
        <f>'Planilha de Composição'!I229</f>
        <v>3.34</v>
      </c>
      <c r="I61" s="117">
        <f t="shared" si="25"/>
        <v>8.57</v>
      </c>
      <c r="J61" s="166">
        <f t="shared" si="26"/>
        <v>2275.0500000000002</v>
      </c>
      <c r="K61" s="166">
        <f t="shared" si="26"/>
        <v>1452.9</v>
      </c>
      <c r="L61" s="167">
        <f t="shared" si="27"/>
        <v>3727.9500000000003</v>
      </c>
      <c r="M61" s="169">
        <f t="shared" si="6"/>
        <v>0.2111176002216073</v>
      </c>
      <c r="N61" s="167">
        <f t="shared" si="28"/>
        <v>6.33</v>
      </c>
      <c r="O61" s="169">
        <f t="shared" si="18"/>
        <v>0.26838623884514634</v>
      </c>
      <c r="P61" s="167">
        <f t="shared" si="29"/>
        <v>4.24</v>
      </c>
      <c r="Q61" s="168">
        <f t="shared" si="30"/>
        <v>10.57</v>
      </c>
      <c r="R61" s="168">
        <f t="shared" si="31"/>
        <v>2753.55</v>
      </c>
      <c r="S61" s="168">
        <f t="shared" si="32"/>
        <v>1844.4</v>
      </c>
      <c r="T61" s="168">
        <f t="shared" si="33"/>
        <v>4597.9500000000007</v>
      </c>
    </row>
    <row r="62" spans="1:20" ht="15.75" thickBot="1" x14ac:dyDescent="0.3">
      <c r="A62" s="1" t="str">
        <f>'Planilha de Composição'!A234</f>
        <v>6.12</v>
      </c>
      <c r="B62" s="1" t="str">
        <f>'Planilha de Composição'!B234</f>
        <v>C.P</v>
      </c>
      <c r="C62" s="1">
        <f>'Planilha de Composição'!C234</f>
        <v>0</v>
      </c>
      <c r="D62" s="348" t="str">
        <f>'Planilha de Composição'!D234</f>
        <v xml:space="preserve">FORNECIMENTO E INSTALAÇÃO DE CABO DE COBRE FLEXÍVEL ISOLADO, 2,5 mm², ANTI-CHAMA, NÃO HALOGENADO, ISOLAMENTO 750V </v>
      </c>
      <c r="E62" s="1" t="str">
        <f>'Planilha de Composição'!E234</f>
        <v>m</v>
      </c>
      <c r="F62" s="351">
        <v>180</v>
      </c>
      <c r="G62" s="3">
        <f>'Planilha de Composição'!H234</f>
        <v>2.4899999999999998</v>
      </c>
      <c r="H62" s="3">
        <f>'Planilha de Composição'!I234</f>
        <v>1.9300000000000002</v>
      </c>
      <c r="I62" s="117">
        <f t="shared" si="25"/>
        <v>4.42</v>
      </c>
      <c r="J62" s="166">
        <f t="shared" si="26"/>
        <v>448.2</v>
      </c>
      <c r="K62" s="166">
        <f t="shared" si="26"/>
        <v>347.4</v>
      </c>
      <c r="L62" s="167">
        <f t="shared" si="27"/>
        <v>795.59999999999991</v>
      </c>
      <c r="M62" s="169">
        <f t="shared" si="6"/>
        <v>0.2111176002216073</v>
      </c>
      <c r="N62" s="167">
        <f t="shared" si="28"/>
        <v>3.02</v>
      </c>
      <c r="O62" s="169">
        <f t="shared" si="18"/>
        <v>0.26838623884514634</v>
      </c>
      <c r="P62" s="167">
        <f t="shared" si="29"/>
        <v>2.4500000000000002</v>
      </c>
      <c r="Q62" s="168">
        <f t="shared" si="30"/>
        <v>5.4700000000000006</v>
      </c>
      <c r="R62" s="168">
        <f t="shared" si="31"/>
        <v>543.6</v>
      </c>
      <c r="S62" s="168">
        <f t="shared" si="32"/>
        <v>441</v>
      </c>
      <c r="T62" s="168">
        <f t="shared" si="33"/>
        <v>984.6</v>
      </c>
    </row>
    <row r="63" spans="1:20" ht="15.75" thickBot="1" x14ac:dyDescent="0.3">
      <c r="A63" s="1" t="str">
        <f>'Planilha de Composição'!A239</f>
        <v>6.13</v>
      </c>
      <c r="B63" s="1" t="str">
        <f>'Planilha de Composição'!B239</f>
        <v>C.P</v>
      </c>
      <c r="C63" s="1">
        <f>'Planilha de Composição'!C239</f>
        <v>0</v>
      </c>
      <c r="D63" s="348" t="str">
        <f>'Planilha de Composição'!D239</f>
        <v>CABEAMENTO DE SINAL ENTRE UNIDADES, ISOLAÇÃO PVC, 2 x #1.0mm², SHIELDADO, 750 V</v>
      </c>
      <c r="E63" s="1" t="str">
        <f>'Planilha de Composição'!E239</f>
        <v>m</v>
      </c>
      <c r="F63" s="351">
        <v>265</v>
      </c>
      <c r="G63" s="3">
        <f>'Planilha de Composição'!H239</f>
        <v>4.8</v>
      </c>
      <c r="H63" s="3">
        <f>'Planilha de Composição'!I239</f>
        <v>1.9300000000000002</v>
      </c>
      <c r="I63" s="117">
        <f t="shared" si="25"/>
        <v>6.73</v>
      </c>
      <c r="J63" s="166">
        <f t="shared" si="26"/>
        <v>1272</v>
      </c>
      <c r="K63" s="166">
        <f t="shared" si="26"/>
        <v>511.45</v>
      </c>
      <c r="L63" s="167">
        <f t="shared" si="27"/>
        <v>1783.45</v>
      </c>
      <c r="M63" s="169">
        <f t="shared" si="6"/>
        <v>0.2111176002216073</v>
      </c>
      <c r="N63" s="167">
        <f t="shared" si="28"/>
        <v>5.81</v>
      </c>
      <c r="O63" s="169">
        <f t="shared" si="18"/>
        <v>0.26838623884514634</v>
      </c>
      <c r="P63" s="167">
        <f t="shared" si="29"/>
        <v>2.4500000000000002</v>
      </c>
      <c r="Q63" s="168">
        <f t="shared" si="30"/>
        <v>8.26</v>
      </c>
      <c r="R63" s="168">
        <f t="shared" si="31"/>
        <v>1539.65</v>
      </c>
      <c r="S63" s="168">
        <f t="shared" si="32"/>
        <v>649.25</v>
      </c>
      <c r="T63" s="168">
        <f t="shared" si="33"/>
        <v>2188.9</v>
      </c>
    </row>
    <row r="64" spans="1:20" ht="15.75" thickBot="1" x14ac:dyDescent="0.3">
      <c r="A64" s="55">
        <f>'Planilha de Composição'!A243</f>
        <v>7</v>
      </c>
      <c r="B64" s="50"/>
      <c r="C64" s="51"/>
      <c r="D64" s="349" t="str">
        <f>'Planilha de Composição'!D243</f>
        <v>Serviços Complementares à Entrega da Instalação Eletromecânica</v>
      </c>
      <c r="E64" s="61"/>
      <c r="F64" s="61"/>
      <c r="G64" s="62"/>
      <c r="H64" s="62"/>
      <c r="I64" s="62"/>
      <c r="J64" s="62">
        <f>SUM(J65:J73)</f>
        <v>4142.5</v>
      </c>
      <c r="K64" s="62">
        <f>SUM(K65:K73)</f>
        <v>9297.35</v>
      </c>
      <c r="L64" s="62">
        <f>SUM(L65:L73)</f>
        <v>13439.850000000002</v>
      </c>
      <c r="M64" s="75">
        <f>$L$2</f>
        <v>0.2111176002216073</v>
      </c>
      <c r="N64" s="70"/>
      <c r="O64" s="75">
        <f>$K$2</f>
        <v>0.26838623884514634</v>
      </c>
      <c r="P64" s="70"/>
      <c r="Q64" s="62"/>
      <c r="R64" s="62">
        <f>SUM(R65:R73)</f>
        <v>5016.9399999999996</v>
      </c>
      <c r="S64" s="62">
        <f>SUM(S65:S73)</f>
        <v>11793.420000000002</v>
      </c>
      <c r="T64" s="62">
        <f>SUM(T65:T73)</f>
        <v>16810.36</v>
      </c>
    </row>
    <row r="65" spans="1:20" ht="15.75" thickBot="1" x14ac:dyDescent="0.3">
      <c r="A65" s="1" t="str">
        <f>'Planilha de Composição'!A244</f>
        <v>7.1</v>
      </c>
      <c r="B65" s="1" t="str">
        <f>'Planilha de Composição'!B244</f>
        <v>C.P</v>
      </c>
      <c r="C65" s="1">
        <f>'Planilha de Composição'!C244</f>
        <v>0</v>
      </c>
      <c r="D65" s="348" t="str">
        <f>'Planilha de Composição'!D244</f>
        <v>TESTES DE ESTANQUEIDADE NOS CIRCUITOS FRIGORÍFICOS</v>
      </c>
      <c r="E65" s="1" t="str">
        <f>'Planilha de Composição'!E244</f>
        <v>un</v>
      </c>
      <c r="F65" s="351">
        <v>1.0000000000000002</v>
      </c>
      <c r="G65" s="3">
        <f>'Planilha de Composição'!H244</f>
        <v>0</v>
      </c>
      <c r="H65" s="3">
        <f>'Planilha de Composição'!I244</f>
        <v>1841.4</v>
      </c>
      <c r="I65" s="117">
        <f t="shared" ref="I65:I73" si="34">H65+G65</f>
        <v>1841.4</v>
      </c>
      <c r="J65" s="166">
        <f t="shared" ref="J65:K73" si="35">ROUND(G65*$F65,2)</f>
        <v>0</v>
      </c>
      <c r="K65" s="166">
        <f t="shared" si="35"/>
        <v>1841.4</v>
      </c>
      <c r="L65" s="167">
        <f t="shared" ref="L65:L73" si="36">K65+J65</f>
        <v>1841.4</v>
      </c>
      <c r="M65" s="169">
        <f t="shared" ref="M65:M73" si="37">$L$2</f>
        <v>0.2111176002216073</v>
      </c>
      <c r="N65" s="167">
        <f t="shared" ref="N65:N73" si="38">ROUND(G65*(1+$M65),2)</f>
        <v>0</v>
      </c>
      <c r="O65" s="169">
        <f t="shared" si="18"/>
        <v>0.26838623884514634</v>
      </c>
      <c r="P65" s="167">
        <f t="shared" ref="P65:P73" si="39">ROUND(H65*(1+$O65),2)</f>
        <v>2335.61</v>
      </c>
      <c r="Q65" s="168">
        <f t="shared" ref="Q65:Q73" si="40">P65+N65</f>
        <v>2335.61</v>
      </c>
      <c r="R65" s="168">
        <f t="shared" ref="R65:R73" si="41">ROUND(N65*$F65,2)</f>
        <v>0</v>
      </c>
      <c r="S65" s="168">
        <f t="shared" ref="S65:S73" si="42">ROUND(P65*$F65,2)</f>
        <v>2335.61</v>
      </c>
      <c r="T65" s="168">
        <f t="shared" ref="T65:T73" si="43">S65+R65</f>
        <v>2335.61</v>
      </c>
    </row>
    <row r="66" spans="1:20" ht="15.75" thickBot="1" x14ac:dyDescent="0.3">
      <c r="A66" s="1" t="str">
        <f>'Planilha de Composição'!A247</f>
        <v>7.2</v>
      </c>
      <c r="B66" s="1" t="str">
        <f>'Planilha de Composição'!B247</f>
        <v>C.P</v>
      </c>
      <c r="C66" s="1">
        <f>'Planilha de Composição'!C247</f>
        <v>0</v>
      </c>
      <c r="D66" s="348" t="str">
        <f>'Planilha de Composição'!D247</f>
        <v>EXECUÇÃO DE VÁCUO NOS CIRCUITOS FRIGORÍFICOS</v>
      </c>
      <c r="E66" s="1" t="str">
        <f>'Planilha de Composição'!E247</f>
        <v>un</v>
      </c>
      <c r="F66" s="351">
        <v>1.0000000000000002</v>
      </c>
      <c r="G66" s="3">
        <f>'Planilha de Composição'!H247</f>
        <v>0</v>
      </c>
      <c r="H66" s="3">
        <f>'Planilha de Composição'!I247</f>
        <v>1933.46</v>
      </c>
      <c r="I66" s="117">
        <f t="shared" si="34"/>
        <v>1933.46</v>
      </c>
      <c r="J66" s="166">
        <f t="shared" si="35"/>
        <v>0</v>
      </c>
      <c r="K66" s="166">
        <f t="shared" si="35"/>
        <v>1933.46</v>
      </c>
      <c r="L66" s="167">
        <f t="shared" si="36"/>
        <v>1933.46</v>
      </c>
      <c r="M66" s="169">
        <f t="shared" si="37"/>
        <v>0.2111176002216073</v>
      </c>
      <c r="N66" s="167">
        <f t="shared" si="38"/>
        <v>0</v>
      </c>
      <c r="O66" s="169">
        <f t="shared" si="18"/>
        <v>0.26838623884514634</v>
      </c>
      <c r="P66" s="167">
        <f t="shared" si="39"/>
        <v>2452.37</v>
      </c>
      <c r="Q66" s="168">
        <f t="shared" si="40"/>
        <v>2452.37</v>
      </c>
      <c r="R66" s="168">
        <f t="shared" si="41"/>
        <v>0</v>
      </c>
      <c r="S66" s="168">
        <f t="shared" si="42"/>
        <v>2452.37</v>
      </c>
      <c r="T66" s="168">
        <f t="shared" si="43"/>
        <v>2452.37</v>
      </c>
    </row>
    <row r="67" spans="1:20" ht="15.75" thickBot="1" x14ac:dyDescent="0.3">
      <c r="A67" s="1" t="str">
        <f>'Planilha de Composição'!A250</f>
        <v>7.3</v>
      </c>
      <c r="B67" s="1" t="str">
        <f>'Planilha de Composição'!B250</f>
        <v>C.P</v>
      </c>
      <c r="C67" s="1">
        <f>'Planilha de Composição'!C250</f>
        <v>0</v>
      </c>
      <c r="D67" s="348" t="str">
        <f>'Planilha de Composição'!D250</f>
        <v>TREINAMENTO PARA OPERAÇÃO DO SISTEMA, MINISTRADO POR PROFISSIONAL HABILITADO A 02 SERVIDORES/PROFISSIONAIS DO FÓRUM</v>
      </c>
      <c r="E67" s="1" t="str">
        <f>'Planilha de Composição'!E250</f>
        <v>un</v>
      </c>
      <c r="F67" s="351">
        <v>1.0000000000000002</v>
      </c>
      <c r="G67" s="3">
        <f>'Planilha de Composição'!H250</f>
        <v>0</v>
      </c>
      <c r="H67" s="3">
        <f>'Planilha de Composição'!I250</f>
        <v>1117.5</v>
      </c>
      <c r="I67" s="117">
        <f t="shared" si="34"/>
        <v>1117.5</v>
      </c>
      <c r="J67" s="166">
        <f t="shared" si="35"/>
        <v>0</v>
      </c>
      <c r="K67" s="166">
        <f t="shared" si="35"/>
        <v>1117.5</v>
      </c>
      <c r="L67" s="167">
        <f t="shared" si="36"/>
        <v>1117.5</v>
      </c>
      <c r="M67" s="169">
        <f t="shared" si="37"/>
        <v>0.2111176002216073</v>
      </c>
      <c r="N67" s="167">
        <f t="shared" si="38"/>
        <v>0</v>
      </c>
      <c r="O67" s="169">
        <f t="shared" si="18"/>
        <v>0.26838623884514634</v>
      </c>
      <c r="P67" s="167">
        <f t="shared" si="39"/>
        <v>1417.42</v>
      </c>
      <c r="Q67" s="168">
        <f t="shared" si="40"/>
        <v>1417.42</v>
      </c>
      <c r="R67" s="168">
        <f t="shared" si="41"/>
        <v>0</v>
      </c>
      <c r="S67" s="168">
        <f t="shared" si="42"/>
        <v>1417.42</v>
      </c>
      <c r="T67" s="168">
        <f t="shared" si="43"/>
        <v>1417.42</v>
      </c>
    </row>
    <row r="68" spans="1:20" ht="15.75" thickBot="1" x14ac:dyDescent="0.3">
      <c r="A68" s="1" t="str">
        <f>'Planilha de Composição'!A252</f>
        <v>7.4</v>
      </c>
      <c r="B68" s="1" t="str">
        <f>'Planilha de Composição'!B252</f>
        <v>C.P</v>
      </c>
      <c r="C68" s="1">
        <f>'Planilha de Composição'!C252</f>
        <v>0</v>
      </c>
      <c r="D68" s="348" t="str">
        <f>'Planilha de Composição'!D252</f>
        <v>START-UP DOS SISTEMAS COM SUPERVISÃO TÉCNICA DO FABRICANTE</v>
      </c>
      <c r="E68" s="1" t="str">
        <f>'Planilha de Composição'!E252</f>
        <v>un</v>
      </c>
      <c r="F68" s="351">
        <v>1.0000000000000002</v>
      </c>
      <c r="G68" s="3">
        <f>'Planilha de Composição'!H252</f>
        <v>0</v>
      </c>
      <c r="H68" s="3">
        <f>'Planilha de Composição'!I252</f>
        <v>1788</v>
      </c>
      <c r="I68" s="117">
        <f t="shared" si="34"/>
        <v>1788</v>
      </c>
      <c r="J68" s="166">
        <f t="shared" si="35"/>
        <v>0</v>
      </c>
      <c r="K68" s="166">
        <f t="shared" si="35"/>
        <v>1788</v>
      </c>
      <c r="L68" s="167">
        <f t="shared" si="36"/>
        <v>1788</v>
      </c>
      <c r="M68" s="169">
        <f t="shared" si="37"/>
        <v>0.2111176002216073</v>
      </c>
      <c r="N68" s="167">
        <f t="shared" si="38"/>
        <v>0</v>
      </c>
      <c r="O68" s="169">
        <f t="shared" si="18"/>
        <v>0.26838623884514634</v>
      </c>
      <c r="P68" s="167">
        <f t="shared" si="39"/>
        <v>2267.87</v>
      </c>
      <c r="Q68" s="168">
        <f t="shared" si="40"/>
        <v>2267.87</v>
      </c>
      <c r="R68" s="168">
        <f t="shared" si="41"/>
        <v>0</v>
      </c>
      <c r="S68" s="168">
        <f t="shared" si="42"/>
        <v>2267.87</v>
      </c>
      <c r="T68" s="168">
        <f t="shared" si="43"/>
        <v>2267.87</v>
      </c>
    </row>
    <row r="69" spans="1:20" ht="15.75" thickBot="1" x14ac:dyDescent="0.3">
      <c r="A69" s="1" t="str">
        <f>'Planilha de Composição'!A254</f>
        <v>7.5</v>
      </c>
      <c r="B69" s="1" t="str">
        <f>'Planilha de Composição'!B254</f>
        <v>SINAPI</v>
      </c>
      <c r="C69" s="1">
        <f>'Planilha de Composição'!C254</f>
        <v>100725</v>
      </c>
      <c r="D69" s="348" t="str">
        <f>'Planilha de Composição'!D254</f>
        <v>PINTURA ANTICORROSIVA E DE ACABAMENTO DOS ELETRODUTOS, TUBULAÇÕES, PERFILADOS, LINHAS RECHAPEADAS E DEMAIS ELEMENTOS METÁLICOS APARENTES</v>
      </c>
      <c r="E69" s="1" t="str">
        <f>'Planilha de Composição'!E254</f>
        <v>m²</v>
      </c>
      <c r="F69" s="351">
        <v>10</v>
      </c>
      <c r="G69" s="3">
        <f>'Planilha de Composição'!H254</f>
        <v>1.23</v>
      </c>
      <c r="H69" s="3">
        <f>'Planilha de Composição'!I254</f>
        <v>26.5</v>
      </c>
      <c r="I69" s="117">
        <f t="shared" si="34"/>
        <v>27.73</v>
      </c>
      <c r="J69" s="166">
        <f t="shared" si="35"/>
        <v>12.3</v>
      </c>
      <c r="K69" s="166">
        <f t="shared" si="35"/>
        <v>265</v>
      </c>
      <c r="L69" s="167">
        <f t="shared" si="36"/>
        <v>277.3</v>
      </c>
      <c r="M69" s="169">
        <f t="shared" si="37"/>
        <v>0.2111176002216073</v>
      </c>
      <c r="N69" s="167">
        <f t="shared" si="38"/>
        <v>1.49</v>
      </c>
      <c r="O69" s="169">
        <f t="shared" si="18"/>
        <v>0.26838623884514634</v>
      </c>
      <c r="P69" s="167">
        <f t="shared" si="39"/>
        <v>33.61</v>
      </c>
      <c r="Q69" s="168">
        <f t="shared" si="40"/>
        <v>35.1</v>
      </c>
      <c r="R69" s="168">
        <f t="shared" si="41"/>
        <v>14.9</v>
      </c>
      <c r="S69" s="168">
        <f t="shared" si="42"/>
        <v>336.1</v>
      </c>
      <c r="T69" s="168">
        <f t="shared" si="43"/>
        <v>351</v>
      </c>
    </row>
    <row r="70" spans="1:20" ht="15.75" thickBot="1" x14ac:dyDescent="0.3">
      <c r="A70" s="1" t="str">
        <f>'Planilha de Composição'!A258</f>
        <v>7.6</v>
      </c>
      <c r="B70" s="1" t="str">
        <f>'Planilha de Composição'!B258</f>
        <v>C.P</v>
      </c>
      <c r="C70" s="1">
        <f>'Planilha de Composição'!C258</f>
        <v>0</v>
      </c>
      <c r="D70" s="348" t="str">
        <f>'Planilha de Composição'!D258</f>
        <v>CALÇO DE NEOPRENE, 100x100x25mm, COMO ELEMENTO INTERMEDIÁRIO/AMORTECEDOR À SUPORTAÇÃO DAS UNIDADES CONDENSADORAS</v>
      </c>
      <c r="E70" s="1" t="str">
        <f>'Planilha de Composição'!E258</f>
        <v>un</v>
      </c>
      <c r="F70" s="351">
        <v>12</v>
      </c>
      <c r="G70" s="3">
        <f>'Planilha de Composição'!H258</f>
        <v>11.8</v>
      </c>
      <c r="H70" s="3">
        <f>'Planilha de Composição'!I258</f>
        <v>6.26</v>
      </c>
      <c r="I70" s="117">
        <f t="shared" si="34"/>
        <v>18.060000000000002</v>
      </c>
      <c r="J70" s="166">
        <f t="shared" si="35"/>
        <v>141.6</v>
      </c>
      <c r="K70" s="166">
        <f t="shared" si="35"/>
        <v>75.12</v>
      </c>
      <c r="L70" s="167">
        <f t="shared" si="36"/>
        <v>216.72</v>
      </c>
      <c r="M70" s="169">
        <f t="shared" si="37"/>
        <v>0.2111176002216073</v>
      </c>
      <c r="N70" s="167">
        <f t="shared" si="38"/>
        <v>14.29</v>
      </c>
      <c r="O70" s="169">
        <f t="shared" si="18"/>
        <v>0.26838623884514634</v>
      </c>
      <c r="P70" s="167">
        <f t="shared" si="39"/>
        <v>7.94</v>
      </c>
      <c r="Q70" s="168">
        <f t="shared" si="40"/>
        <v>22.23</v>
      </c>
      <c r="R70" s="168">
        <f t="shared" si="41"/>
        <v>171.48</v>
      </c>
      <c r="S70" s="168">
        <f t="shared" si="42"/>
        <v>95.28</v>
      </c>
      <c r="T70" s="168">
        <f t="shared" si="43"/>
        <v>266.76</v>
      </c>
    </row>
    <row r="71" spans="1:20" ht="15.75" thickBot="1" x14ac:dyDescent="0.3">
      <c r="A71" s="1" t="str">
        <f>'Planilha de Composição'!A261</f>
        <v>7.7</v>
      </c>
      <c r="B71" s="1" t="str">
        <f>'Planilha de Composição'!B261</f>
        <v>C.P</v>
      </c>
      <c r="C71" s="1">
        <f>'Planilha de Composição'!C261</f>
        <v>0</v>
      </c>
      <c r="D71" s="348" t="str">
        <f>'Planilha de Composição'!D261</f>
        <v>FORNECIMENTO E INSTALAÇÃO DO CONJUNTO DE SUPORTAÇÃO DO GABINETE DE VENTILAÇÃO</v>
      </c>
      <c r="E71" s="1" t="str">
        <f>'Planilha de Composição'!E261</f>
        <v>un</v>
      </c>
      <c r="F71" s="351">
        <v>1</v>
      </c>
      <c r="G71" s="3">
        <f>'Planilha de Composição'!H261</f>
        <v>12.850000000000001</v>
      </c>
      <c r="H71" s="3">
        <f>'Planilha de Composição'!I261</f>
        <v>4.12</v>
      </c>
      <c r="I71" s="117">
        <f t="shared" si="34"/>
        <v>16.970000000000002</v>
      </c>
      <c r="J71" s="166">
        <f t="shared" si="35"/>
        <v>12.85</v>
      </c>
      <c r="K71" s="166">
        <f t="shared" si="35"/>
        <v>4.12</v>
      </c>
      <c r="L71" s="167">
        <f t="shared" si="36"/>
        <v>16.97</v>
      </c>
      <c r="M71" s="169">
        <f t="shared" si="37"/>
        <v>0.2111176002216073</v>
      </c>
      <c r="N71" s="167">
        <f t="shared" si="38"/>
        <v>15.56</v>
      </c>
      <c r="O71" s="169">
        <f t="shared" si="18"/>
        <v>0.26838623884514634</v>
      </c>
      <c r="P71" s="167">
        <f t="shared" si="39"/>
        <v>5.23</v>
      </c>
      <c r="Q71" s="168">
        <f t="shared" si="40"/>
        <v>20.79</v>
      </c>
      <c r="R71" s="168">
        <f t="shared" si="41"/>
        <v>15.56</v>
      </c>
      <c r="S71" s="168">
        <f t="shared" si="42"/>
        <v>5.23</v>
      </c>
      <c r="T71" s="168">
        <f t="shared" si="43"/>
        <v>20.79</v>
      </c>
    </row>
    <row r="72" spans="1:20" ht="15.75" thickBot="1" x14ac:dyDescent="0.3">
      <c r="A72" s="1" t="str">
        <f>'Planilha de Composição'!A268</f>
        <v>7.8</v>
      </c>
      <c r="B72" s="1" t="str">
        <f>'Planilha de Composição'!B268</f>
        <v>C.P</v>
      </c>
      <c r="C72" s="1">
        <f>'Planilha de Composição'!C268</f>
        <v>0</v>
      </c>
      <c r="D72" s="348" t="str">
        <f>'Planilha de Composição'!D268</f>
        <v>FORNECIMENTO E INSTALAÇÃO DE CONJUNTO DE SUPORTAÇÃO DA IFRAESTRUTURA ELETROMECÂNICA, POR PERFILADO DE SEÇÃO 38X19 MM (14 E 22GSG) E ABRAÇADEIRAS METÁLICAS TIPO CUNHA</v>
      </c>
      <c r="E72" s="1" t="str">
        <f>'Planilha de Composição'!E268</f>
        <v>m</v>
      </c>
      <c r="F72" s="351">
        <v>225</v>
      </c>
      <c r="G72" s="3">
        <f>'Planilha de Composição'!H268</f>
        <v>17.670000000000002</v>
      </c>
      <c r="H72" s="3">
        <f>'Planilha de Composição'!I268</f>
        <v>2.93</v>
      </c>
      <c r="I72" s="117">
        <f t="shared" si="34"/>
        <v>20.6</v>
      </c>
      <c r="J72" s="166">
        <f t="shared" si="35"/>
        <v>3975.75</v>
      </c>
      <c r="K72" s="166">
        <f t="shared" si="35"/>
        <v>659.25</v>
      </c>
      <c r="L72" s="167">
        <f t="shared" si="36"/>
        <v>4635</v>
      </c>
      <c r="M72" s="169">
        <f t="shared" si="37"/>
        <v>0.2111176002216073</v>
      </c>
      <c r="N72" s="167">
        <f t="shared" si="38"/>
        <v>21.4</v>
      </c>
      <c r="O72" s="169">
        <f t="shared" si="18"/>
        <v>0.26838623884514634</v>
      </c>
      <c r="P72" s="167">
        <f t="shared" si="39"/>
        <v>3.72</v>
      </c>
      <c r="Q72" s="168">
        <f t="shared" si="40"/>
        <v>25.119999999999997</v>
      </c>
      <c r="R72" s="168">
        <f t="shared" si="41"/>
        <v>4815</v>
      </c>
      <c r="S72" s="168">
        <f t="shared" si="42"/>
        <v>837</v>
      </c>
      <c r="T72" s="168">
        <f t="shared" si="43"/>
        <v>5652</v>
      </c>
    </row>
    <row r="73" spans="1:20" ht="15.75" thickBot="1" x14ac:dyDescent="0.3">
      <c r="A73" s="1" t="str">
        <f>'Planilha de Composição'!A278</f>
        <v>7.9</v>
      </c>
      <c r="B73" s="1" t="str">
        <f>'Planilha de Composição'!B278</f>
        <v>C.P</v>
      </c>
      <c r="C73" s="1">
        <f>'Planilha de Composição'!C278</f>
        <v>0</v>
      </c>
      <c r="D73" s="348" t="str">
        <f>'Planilha de Composição'!D278</f>
        <v>REMOÇÃO E REINSTALAÇÃO DE LUMINÁRIAS EXISTENTES, INCLUSIVE ELEMENTOS DE SUPORTAÇÃO E INFRAESTRUTURA</v>
      </c>
      <c r="E73" s="1" t="str">
        <f>'Planilha de Composição'!E278</f>
        <v>cj</v>
      </c>
      <c r="F73" s="351">
        <v>1.0000000000000002</v>
      </c>
      <c r="G73" s="3">
        <f>'Planilha de Composição'!H278</f>
        <v>0</v>
      </c>
      <c r="H73" s="3">
        <f>'Planilha de Composição'!I278</f>
        <v>1613.5</v>
      </c>
      <c r="I73" s="117">
        <f t="shared" si="34"/>
        <v>1613.5</v>
      </c>
      <c r="J73" s="166">
        <f t="shared" si="35"/>
        <v>0</v>
      </c>
      <c r="K73" s="166">
        <f t="shared" si="35"/>
        <v>1613.5</v>
      </c>
      <c r="L73" s="167">
        <f t="shared" si="36"/>
        <v>1613.5</v>
      </c>
      <c r="M73" s="169">
        <f t="shared" si="37"/>
        <v>0.2111176002216073</v>
      </c>
      <c r="N73" s="167">
        <f t="shared" si="38"/>
        <v>0</v>
      </c>
      <c r="O73" s="169">
        <f t="shared" si="18"/>
        <v>0.26838623884514634</v>
      </c>
      <c r="P73" s="167">
        <f t="shared" si="39"/>
        <v>2046.54</v>
      </c>
      <c r="Q73" s="168">
        <f t="shared" si="40"/>
        <v>2046.54</v>
      </c>
      <c r="R73" s="168">
        <f t="shared" si="41"/>
        <v>0</v>
      </c>
      <c r="S73" s="168">
        <f t="shared" si="42"/>
        <v>2046.54</v>
      </c>
      <c r="T73" s="168">
        <f t="shared" si="43"/>
        <v>2046.54</v>
      </c>
    </row>
    <row r="74" spans="1:20" ht="15.75" thickBot="1" x14ac:dyDescent="0.3">
      <c r="A74" s="55">
        <f>'Planilha de Composição'!A281</f>
        <v>8</v>
      </c>
      <c r="B74" s="50"/>
      <c r="C74" s="51"/>
      <c r="D74" s="349" t="str">
        <f>'Planilha de Composição'!D281</f>
        <v>Obras Civis</v>
      </c>
      <c r="E74" s="61"/>
      <c r="F74" s="61"/>
      <c r="G74" s="62"/>
      <c r="H74" s="62"/>
      <c r="I74" s="62"/>
      <c r="J74" s="62">
        <f>SUM(J75:J89)</f>
        <v>11364.65</v>
      </c>
      <c r="K74" s="62">
        <f>SUM(K75:K89)</f>
        <v>7823.5700000000006</v>
      </c>
      <c r="L74" s="62">
        <f>SUM(L75:L89)</f>
        <v>19188.22</v>
      </c>
      <c r="M74" s="75">
        <f>$L$2</f>
        <v>0.2111176002216073</v>
      </c>
      <c r="N74" s="70"/>
      <c r="O74" s="75">
        <f>$K$2</f>
        <v>0.26838623884514634</v>
      </c>
      <c r="P74" s="70"/>
      <c r="Q74" s="62"/>
      <c r="R74" s="62">
        <f>SUM(R75:R89)</f>
        <v>13763.960000000001</v>
      </c>
      <c r="S74" s="62">
        <f>SUM(S75:S89)</f>
        <v>9923.69</v>
      </c>
      <c r="T74" s="62">
        <f>SUM(T75:T89)</f>
        <v>23687.649999999998</v>
      </c>
    </row>
    <row r="75" spans="1:20" ht="15.75" thickBot="1" x14ac:dyDescent="0.3">
      <c r="A75" s="1" t="str">
        <f>'Planilha de Composição'!A282</f>
        <v>8.1</v>
      </c>
      <c r="B75" s="1" t="str">
        <f>'Planilha de Composição'!B282</f>
        <v>SINAPI</v>
      </c>
      <c r="C75" s="1">
        <f>'Planilha de Composição'!C282</f>
        <v>97096</v>
      </c>
      <c r="D75" s="348" t="str">
        <f>'Planilha de Composição'!D282</f>
        <v>CONCRETAGEM DE CANALETA DE CONCRETO, BASE DE SUPORTAÇÃO E NIVELAMENTO DAS UNIDADES CONDENSADORAS E RECOMPOSIÇÃO DE CALÇADA, NAS ÁREAS AFETADAS PELA OBRA</v>
      </c>
      <c r="E75" s="1" t="str">
        <f>'Planilha de Composição'!E282</f>
        <v>m³</v>
      </c>
      <c r="F75" s="351">
        <v>2.5</v>
      </c>
      <c r="G75" s="3">
        <f>'Planilha de Composição'!H282</f>
        <v>523.4</v>
      </c>
      <c r="H75" s="3">
        <f>'Planilha de Composição'!I282</f>
        <v>22.46</v>
      </c>
      <c r="I75" s="117">
        <f t="shared" ref="I75:I89" si="44">H75+G75</f>
        <v>545.86</v>
      </c>
      <c r="J75" s="166">
        <f t="shared" ref="J75:K89" si="45">ROUND(G75*$F75,2)</f>
        <v>1308.5</v>
      </c>
      <c r="K75" s="166">
        <f t="shared" si="45"/>
        <v>56.15</v>
      </c>
      <c r="L75" s="167">
        <f t="shared" ref="L75:L89" si="46">K75+J75</f>
        <v>1364.65</v>
      </c>
      <c r="M75" s="169">
        <f t="shared" ref="M75:M89" si="47">$L$2</f>
        <v>0.2111176002216073</v>
      </c>
      <c r="N75" s="167">
        <f t="shared" ref="N75:N89" si="48">ROUND(G75*(1+$M75),2)</f>
        <v>633.9</v>
      </c>
      <c r="O75" s="169">
        <f t="shared" si="18"/>
        <v>0.26838623884514634</v>
      </c>
      <c r="P75" s="167">
        <f t="shared" ref="P75:P89" si="49">ROUND(H75*(1+$O75),2)</f>
        <v>28.49</v>
      </c>
      <c r="Q75" s="168">
        <f t="shared" ref="Q75:Q89" si="50">P75+N75</f>
        <v>662.39</v>
      </c>
      <c r="R75" s="168">
        <f t="shared" ref="R75:R89" si="51">ROUND(N75*$F75,2)</f>
        <v>1584.75</v>
      </c>
      <c r="S75" s="168">
        <f t="shared" ref="S75:S89" si="52">ROUND(P75*$F75,2)</f>
        <v>71.23</v>
      </c>
      <c r="T75" s="168">
        <f t="shared" ref="T75:T89" si="53">S75+R75</f>
        <v>1655.98</v>
      </c>
    </row>
    <row r="76" spans="1:20" ht="15.75" thickBot="1" x14ac:dyDescent="0.3">
      <c r="A76" s="1" t="str">
        <f>'Planilha de Composição'!A288</f>
        <v>8.2</v>
      </c>
      <c r="B76" s="1" t="str">
        <f>'Planilha de Composição'!B288</f>
        <v>SINAPI</v>
      </c>
      <c r="C76" s="1">
        <f>'Planilha de Composição'!C288</f>
        <v>92265</v>
      </c>
      <c r="D76" s="348" t="str">
        <f>'Planilha de Composição'!D288</f>
        <v>FABRICAÇÃO DE FÔRMA PARA ESTRUTURAS EM CONCRETO ARMADO, EM CHAPA DE MADEIRA COMPENSADA RESINADA, E = 17 MM, PARA BASES DE CONCRETO</v>
      </c>
      <c r="E76" s="1" t="str">
        <f>'Planilha de Composição'!E288</f>
        <v>m²</v>
      </c>
      <c r="F76" s="351">
        <v>12.5</v>
      </c>
      <c r="G76" s="3">
        <f>'Planilha de Composição'!H288</f>
        <v>76.899999999999991</v>
      </c>
      <c r="H76" s="3">
        <f>'Planilha de Composição'!I288</f>
        <v>31.79</v>
      </c>
      <c r="I76" s="117">
        <f t="shared" si="44"/>
        <v>108.69</v>
      </c>
      <c r="J76" s="166">
        <f t="shared" si="45"/>
        <v>961.25</v>
      </c>
      <c r="K76" s="166">
        <f t="shared" si="45"/>
        <v>397.38</v>
      </c>
      <c r="L76" s="167">
        <f t="shared" si="46"/>
        <v>1358.63</v>
      </c>
      <c r="M76" s="169">
        <f t="shared" si="47"/>
        <v>0.2111176002216073</v>
      </c>
      <c r="N76" s="167">
        <f t="shared" si="48"/>
        <v>93.13</v>
      </c>
      <c r="O76" s="169">
        <f t="shared" si="18"/>
        <v>0.26838623884514634</v>
      </c>
      <c r="P76" s="167">
        <f t="shared" si="49"/>
        <v>40.32</v>
      </c>
      <c r="Q76" s="168">
        <f t="shared" si="50"/>
        <v>133.44999999999999</v>
      </c>
      <c r="R76" s="168">
        <f t="shared" si="51"/>
        <v>1164.1300000000001</v>
      </c>
      <c r="S76" s="168">
        <f t="shared" si="52"/>
        <v>504</v>
      </c>
      <c r="T76" s="168">
        <f t="shared" si="53"/>
        <v>1668.13</v>
      </c>
    </row>
    <row r="77" spans="1:20" ht="15.75" thickBot="1" x14ac:dyDescent="0.3">
      <c r="A77" s="1" t="str">
        <f>'Planilha de Composição'!A297</f>
        <v>8.3</v>
      </c>
      <c r="B77" s="1" t="str">
        <f>'Planilha de Composição'!B297</f>
        <v>SINAPI</v>
      </c>
      <c r="C77" s="1">
        <f>'Planilha de Composição'!C297</f>
        <v>92772</v>
      </c>
      <c r="D77" s="348" t="str">
        <f>'Planilha de Composição'!D297</f>
        <v>ARMAÇÃO DAS BASES DE NIVELAMENTO E VALAS DE PASSSAGEM UTILIZANDO AÇO CA-50 DE 12,5MM, PARA ARMAÇÃO DAS BASES DE CONCRETO</v>
      </c>
      <c r="E77" s="1" t="str">
        <f>'Planilha de Composição'!E297</f>
        <v>kg</v>
      </c>
      <c r="F77" s="351">
        <v>90</v>
      </c>
      <c r="G77" s="3">
        <f>'Planilha de Composição'!H297</f>
        <v>7.9700000000000006</v>
      </c>
      <c r="H77" s="3">
        <f>'Planilha de Composição'!I297</f>
        <v>0.47</v>
      </c>
      <c r="I77" s="117">
        <f t="shared" si="44"/>
        <v>8.4400000000000013</v>
      </c>
      <c r="J77" s="166">
        <f t="shared" si="45"/>
        <v>717.3</v>
      </c>
      <c r="K77" s="166">
        <f t="shared" si="45"/>
        <v>42.3</v>
      </c>
      <c r="L77" s="167">
        <f t="shared" si="46"/>
        <v>759.59999999999991</v>
      </c>
      <c r="M77" s="169">
        <f t="shared" si="47"/>
        <v>0.2111176002216073</v>
      </c>
      <c r="N77" s="167">
        <f t="shared" si="48"/>
        <v>9.65</v>
      </c>
      <c r="O77" s="169">
        <f t="shared" si="18"/>
        <v>0.26838623884514634</v>
      </c>
      <c r="P77" s="167">
        <f t="shared" si="49"/>
        <v>0.6</v>
      </c>
      <c r="Q77" s="168">
        <f t="shared" si="50"/>
        <v>10.25</v>
      </c>
      <c r="R77" s="168">
        <f t="shared" si="51"/>
        <v>868.5</v>
      </c>
      <c r="S77" s="168">
        <f t="shared" si="52"/>
        <v>54</v>
      </c>
      <c r="T77" s="168">
        <f t="shared" si="53"/>
        <v>922.5</v>
      </c>
    </row>
    <row r="78" spans="1:20" ht="15.75" thickBot="1" x14ac:dyDescent="0.3">
      <c r="A78" s="1" t="str">
        <f>'Planilha de Composição'!A303</f>
        <v>8.4</v>
      </c>
      <c r="B78" s="1" t="str">
        <f>'Planilha de Composição'!B303</f>
        <v>C.P</v>
      </c>
      <c r="C78" s="1">
        <f>'Planilha de Composição'!C303</f>
        <v>0</v>
      </c>
      <c r="D78" s="348" t="str">
        <f>'Planilha de Composição'!D303</f>
        <v>FURAÇÃO/ABERTURA EM ALVENARIA PARA PASSAGEM DA INFRAESTRUTURA ELETROMECÂNICA/TOMADAS DE AR EXTERNO</v>
      </c>
      <c r="E78" s="1" t="str">
        <f>'Planilha de Composição'!E303</f>
        <v>m²</v>
      </c>
      <c r="F78" s="351">
        <v>3</v>
      </c>
      <c r="G78" s="3">
        <f>'Planilha de Composição'!H303</f>
        <v>0</v>
      </c>
      <c r="H78" s="3">
        <f>'Planilha de Composição'!I303</f>
        <v>41.76</v>
      </c>
      <c r="I78" s="117">
        <f t="shared" si="44"/>
        <v>41.76</v>
      </c>
      <c r="J78" s="166">
        <f t="shared" si="45"/>
        <v>0</v>
      </c>
      <c r="K78" s="166">
        <f t="shared" si="45"/>
        <v>125.28</v>
      </c>
      <c r="L78" s="167">
        <f t="shared" si="46"/>
        <v>125.28</v>
      </c>
      <c r="M78" s="169">
        <f t="shared" si="47"/>
        <v>0.2111176002216073</v>
      </c>
      <c r="N78" s="167">
        <f t="shared" si="48"/>
        <v>0</v>
      </c>
      <c r="O78" s="169">
        <f t="shared" si="18"/>
        <v>0.26838623884514634</v>
      </c>
      <c r="P78" s="167">
        <f t="shared" si="49"/>
        <v>52.97</v>
      </c>
      <c r="Q78" s="168">
        <f t="shared" si="50"/>
        <v>52.97</v>
      </c>
      <c r="R78" s="168">
        <f t="shared" si="51"/>
        <v>0</v>
      </c>
      <c r="S78" s="168">
        <f t="shared" si="52"/>
        <v>158.91</v>
      </c>
      <c r="T78" s="168">
        <f t="shared" si="53"/>
        <v>158.91</v>
      </c>
    </row>
    <row r="79" spans="1:20" ht="15.75" thickBot="1" x14ac:dyDescent="0.3">
      <c r="A79" s="1" t="str">
        <f>'Planilha de Composição'!A306</f>
        <v>8.5</v>
      </c>
      <c r="B79" s="1" t="str">
        <f>'Planilha de Composição'!B306</f>
        <v>SINAPI</v>
      </c>
      <c r="C79" s="1">
        <f>'Planilha de Composição'!C306</f>
        <v>91222</v>
      </c>
      <c r="D79" s="348" t="str">
        <f>'Planilha de Composição'!D306</f>
        <v>RASGO EM ALVENARIA, PARA INSTALAÇÃO DAS CAIXAS DE LIGAÇÃO DAS UNIDADES EVAPORADORAS</v>
      </c>
      <c r="E79" s="1" t="str">
        <f>'Planilha de Composição'!E306</f>
        <v>m</v>
      </c>
      <c r="F79" s="351">
        <v>10</v>
      </c>
      <c r="G79" s="3">
        <f>'Planilha de Composição'!H306</f>
        <v>0</v>
      </c>
      <c r="H79" s="3">
        <f>'Planilha de Composição'!I306</f>
        <v>17.57</v>
      </c>
      <c r="I79" s="117">
        <f t="shared" si="44"/>
        <v>17.57</v>
      </c>
      <c r="J79" s="166">
        <f t="shared" si="45"/>
        <v>0</v>
      </c>
      <c r="K79" s="166">
        <f t="shared" si="45"/>
        <v>175.7</v>
      </c>
      <c r="L79" s="167">
        <f t="shared" si="46"/>
        <v>175.7</v>
      </c>
      <c r="M79" s="169">
        <f t="shared" si="47"/>
        <v>0.2111176002216073</v>
      </c>
      <c r="N79" s="167">
        <f t="shared" si="48"/>
        <v>0</v>
      </c>
      <c r="O79" s="169">
        <f t="shared" si="18"/>
        <v>0.26838623884514634</v>
      </c>
      <c r="P79" s="167">
        <f t="shared" si="49"/>
        <v>22.29</v>
      </c>
      <c r="Q79" s="168">
        <f t="shared" si="50"/>
        <v>22.29</v>
      </c>
      <c r="R79" s="168">
        <f t="shared" si="51"/>
        <v>0</v>
      </c>
      <c r="S79" s="168">
        <f t="shared" si="52"/>
        <v>222.9</v>
      </c>
      <c r="T79" s="168">
        <f t="shared" si="53"/>
        <v>222.9</v>
      </c>
    </row>
    <row r="80" spans="1:20" ht="26.25" thickBot="1" x14ac:dyDescent="0.3">
      <c r="A80" s="383" t="str">
        <f>'Planilha de Composição'!A309</f>
        <v>8.6</v>
      </c>
      <c r="B80" s="383" t="str">
        <f>'Planilha de Composição'!B309</f>
        <v>C.P</v>
      </c>
      <c r="C80" s="383">
        <f>'Planilha de Composição'!C309</f>
        <v>0</v>
      </c>
      <c r="D80" s="384" t="str">
        <f>'Planilha de Composição'!D309</f>
        <v>ESCAVAÇÃO MANUAL DE SOLO PARA IMPLANTAÇÃO DA CANALETA DE CONCRETO E BASE DE SUPORTAÇÃO E NIVELAMENTO DAS UNIDADES CONDENSADORAS, INCLUSIVE FORNECIMENTO E PLANTIO DE FORRAÇÃO NAS ÁREAS AFETADAS</v>
      </c>
      <c r="E80" s="383" t="str">
        <f>'Planilha de Composição'!E309</f>
        <v>m²</v>
      </c>
      <c r="F80" s="351">
        <v>12</v>
      </c>
      <c r="G80" s="385">
        <f>'Planilha de Composição'!H309</f>
        <v>26</v>
      </c>
      <c r="H80" s="385">
        <f>'Planilha de Composição'!I309</f>
        <v>69.180000000000007</v>
      </c>
      <c r="I80" s="386">
        <f t="shared" si="44"/>
        <v>95.18</v>
      </c>
      <c r="J80" s="166">
        <f t="shared" si="45"/>
        <v>312</v>
      </c>
      <c r="K80" s="166">
        <f t="shared" si="45"/>
        <v>830.16</v>
      </c>
      <c r="L80" s="167">
        <f t="shared" si="46"/>
        <v>1142.1599999999999</v>
      </c>
      <c r="M80" s="169">
        <f t="shared" si="47"/>
        <v>0.2111176002216073</v>
      </c>
      <c r="N80" s="167">
        <f t="shared" si="48"/>
        <v>31.49</v>
      </c>
      <c r="O80" s="169">
        <f t="shared" si="18"/>
        <v>0.26838623884514634</v>
      </c>
      <c r="P80" s="167">
        <f t="shared" si="49"/>
        <v>87.75</v>
      </c>
      <c r="Q80" s="168">
        <f t="shared" si="50"/>
        <v>119.24</v>
      </c>
      <c r="R80" s="168">
        <f t="shared" si="51"/>
        <v>377.88</v>
      </c>
      <c r="S80" s="168">
        <f t="shared" si="52"/>
        <v>1053</v>
      </c>
      <c r="T80" s="168">
        <f t="shared" si="53"/>
        <v>1430.88</v>
      </c>
    </row>
    <row r="81" spans="1:20" ht="15.75" thickBot="1" x14ac:dyDescent="0.3">
      <c r="A81" s="1" t="str">
        <f>'Planilha de Composição'!A312</f>
        <v>8.7</v>
      </c>
      <c r="B81" s="1" t="str">
        <f>'Planilha de Composição'!B312</f>
        <v>C.P</v>
      </c>
      <c r="C81" s="1">
        <f>'Planilha de Composição'!C312</f>
        <v>0</v>
      </c>
      <c r="D81" s="348" t="str">
        <f>'Planilha de Composição'!D312</f>
        <v>REDE DE DRENAGEM EM PVC MARROM COM ISOLAMENTO EM BORRACHA ELASTOMÉRICA, INCLUINDO CONEXÕES E ACESSÓRIOS, DN. 1" (Rede de Drenagem)</v>
      </c>
      <c r="E81" s="1" t="str">
        <f>'Planilha de Composição'!E312</f>
        <v>m</v>
      </c>
      <c r="F81" s="351">
        <v>75</v>
      </c>
      <c r="G81" s="3">
        <f>'Planilha de Composição'!H312</f>
        <v>9.4700000000000006</v>
      </c>
      <c r="H81" s="3">
        <f>'Planilha de Composição'!I312</f>
        <v>10.6</v>
      </c>
      <c r="I81" s="117">
        <f t="shared" si="44"/>
        <v>20.07</v>
      </c>
      <c r="J81" s="166">
        <f t="shared" si="45"/>
        <v>710.25</v>
      </c>
      <c r="K81" s="166">
        <f t="shared" si="45"/>
        <v>795</v>
      </c>
      <c r="L81" s="167">
        <f t="shared" si="46"/>
        <v>1505.25</v>
      </c>
      <c r="M81" s="169">
        <f t="shared" si="47"/>
        <v>0.2111176002216073</v>
      </c>
      <c r="N81" s="167">
        <f t="shared" si="48"/>
        <v>11.47</v>
      </c>
      <c r="O81" s="169">
        <f t="shared" si="18"/>
        <v>0.26838623884514634</v>
      </c>
      <c r="P81" s="167">
        <f t="shared" si="49"/>
        <v>13.44</v>
      </c>
      <c r="Q81" s="168">
        <f t="shared" si="50"/>
        <v>24.91</v>
      </c>
      <c r="R81" s="168">
        <f t="shared" si="51"/>
        <v>860.25</v>
      </c>
      <c r="S81" s="168">
        <f t="shared" si="52"/>
        <v>1008</v>
      </c>
      <c r="T81" s="168">
        <f t="shared" si="53"/>
        <v>1868.25</v>
      </c>
    </row>
    <row r="82" spans="1:20" ht="27" thickBot="1" x14ac:dyDescent="0.3">
      <c r="A82" s="1" t="str">
        <f>'Planilha de Composição'!A316</f>
        <v>8.8</v>
      </c>
      <c r="B82" s="1" t="str">
        <f>'Planilha de Composição'!B316</f>
        <v>SINAPI</v>
      </c>
      <c r="C82" s="1">
        <f>'Planilha de Composição'!C316</f>
        <v>87561</v>
      </c>
      <c r="D82" s="348" t="str">
        <f>'Planilha de Composição'!D316</f>
        <v>MASSA ÚNICA, PARA RECEBIMENTO DE PINTURA OU CERÂMICA, EM ARGAMASSA INDUSTRIALIZADA, PREPARO MECÂNICO, APLICADO COM EQUIPAMENTO DE MISTURA E PROJEÇÃO DE 1,5 M3/H DE ARGAMASSA EM FACES INTERNAS DE PAREDES, #10MM, PARA RECOMPOSIÇÃO/ACABAMENTO DAS ÁREAS DE ABERTURA E REMOÇÃO DE EQUIPAMENTOS EXISTENTES</v>
      </c>
      <c r="E82" s="1" t="str">
        <f>'Planilha de Composição'!E316</f>
        <v>m²</v>
      </c>
      <c r="F82" s="351">
        <v>5</v>
      </c>
      <c r="G82" s="3">
        <f>'Planilha de Composição'!H316</f>
        <v>34.92</v>
      </c>
      <c r="H82" s="3">
        <f>'Planilha de Composição'!I316</f>
        <v>9.07</v>
      </c>
      <c r="I82" s="117">
        <f t="shared" si="44"/>
        <v>43.99</v>
      </c>
      <c r="J82" s="166">
        <f t="shared" si="45"/>
        <v>174.6</v>
      </c>
      <c r="K82" s="166">
        <f t="shared" si="45"/>
        <v>45.35</v>
      </c>
      <c r="L82" s="167">
        <f t="shared" si="46"/>
        <v>219.95</v>
      </c>
      <c r="M82" s="169">
        <f t="shared" si="47"/>
        <v>0.2111176002216073</v>
      </c>
      <c r="N82" s="167">
        <f t="shared" si="48"/>
        <v>42.29</v>
      </c>
      <c r="O82" s="169">
        <f t="shared" si="18"/>
        <v>0.26838623884514634</v>
      </c>
      <c r="P82" s="167">
        <f t="shared" si="49"/>
        <v>11.5</v>
      </c>
      <c r="Q82" s="168">
        <f t="shared" si="50"/>
        <v>53.79</v>
      </c>
      <c r="R82" s="168">
        <f t="shared" si="51"/>
        <v>211.45</v>
      </c>
      <c r="S82" s="168">
        <f t="shared" si="52"/>
        <v>57.5</v>
      </c>
      <c r="T82" s="168">
        <f t="shared" si="53"/>
        <v>268.95</v>
      </c>
    </row>
    <row r="83" spans="1:20" ht="15.75" thickBot="1" x14ac:dyDescent="0.3">
      <c r="A83" s="1" t="str">
        <f>'Planilha de Composição'!A320</f>
        <v>8.9</v>
      </c>
      <c r="B83" s="1" t="str">
        <f>'Planilha de Composição'!B320</f>
        <v>SINAPI</v>
      </c>
      <c r="C83" s="1">
        <f>'Planilha de Composição'!C320</f>
        <v>88485</v>
      </c>
      <c r="D83" s="348" t="str">
        <f>'Planilha de Composição'!D320</f>
        <v>APLICAÇÃO DE FUNDO SELADOR ACRÍLICO EM PAREDES E TETO, UMA DEMÃO, PARA ACABAMENTO DAS ÁREAS RECONSTITUÍDAS</v>
      </c>
      <c r="E83" s="1" t="str">
        <f>'Planilha de Composição'!E320</f>
        <v>m²</v>
      </c>
      <c r="F83" s="351">
        <v>150</v>
      </c>
      <c r="G83" s="3">
        <f>'Planilha de Composição'!H320</f>
        <v>1.84</v>
      </c>
      <c r="H83" s="3">
        <f>'Planilha de Composição'!I320</f>
        <v>1.6099999999999999</v>
      </c>
      <c r="I83" s="117">
        <f t="shared" si="44"/>
        <v>3.45</v>
      </c>
      <c r="J83" s="166">
        <f t="shared" si="45"/>
        <v>276</v>
      </c>
      <c r="K83" s="166">
        <f t="shared" si="45"/>
        <v>241.5</v>
      </c>
      <c r="L83" s="167">
        <f t="shared" si="46"/>
        <v>517.5</v>
      </c>
      <c r="M83" s="169">
        <f t="shared" si="47"/>
        <v>0.2111176002216073</v>
      </c>
      <c r="N83" s="167">
        <f t="shared" si="48"/>
        <v>2.23</v>
      </c>
      <c r="O83" s="169">
        <f t="shared" si="18"/>
        <v>0.26838623884514634</v>
      </c>
      <c r="P83" s="167">
        <f t="shared" si="49"/>
        <v>2.04</v>
      </c>
      <c r="Q83" s="168">
        <f t="shared" si="50"/>
        <v>4.2699999999999996</v>
      </c>
      <c r="R83" s="168">
        <f t="shared" si="51"/>
        <v>334.5</v>
      </c>
      <c r="S83" s="168">
        <f t="shared" si="52"/>
        <v>306</v>
      </c>
      <c r="T83" s="168">
        <f t="shared" si="53"/>
        <v>640.5</v>
      </c>
    </row>
    <row r="84" spans="1:20" ht="15.75" thickBot="1" x14ac:dyDescent="0.3">
      <c r="A84" s="1" t="str">
        <f>'Planilha de Composição'!A324</f>
        <v>8.10</v>
      </c>
      <c r="B84" s="1" t="str">
        <f>'Planilha de Composição'!B324</f>
        <v>SINAPI</v>
      </c>
      <c r="C84" s="1">
        <f>'Planilha de Composição'!C324</f>
        <v>88489</v>
      </c>
      <c r="D84" s="348" t="str">
        <f>'Planilha de Composição'!D324</f>
        <v>APLICAÇÃO MANUAL DE PINTURA COM TINTA LÁTEX ACRÍLICA EM PAREDES E TETO, DUAS DEMÃOS, PARA ACABAMENTO DAS ÁREAS RECONSTITUÍDAS</v>
      </c>
      <c r="E84" s="1" t="str">
        <f>'Planilha de Composição'!E324</f>
        <v>m²</v>
      </c>
      <c r="F84" s="351">
        <v>150</v>
      </c>
      <c r="G84" s="3">
        <f>'Planilha de Composição'!H324</f>
        <v>10.14</v>
      </c>
      <c r="H84" s="3">
        <f>'Planilha de Composição'!I324</f>
        <v>7.79</v>
      </c>
      <c r="I84" s="117">
        <f t="shared" si="44"/>
        <v>17.93</v>
      </c>
      <c r="J84" s="166">
        <f t="shared" si="45"/>
        <v>1521</v>
      </c>
      <c r="K84" s="166">
        <f t="shared" si="45"/>
        <v>1168.5</v>
      </c>
      <c r="L84" s="167">
        <f t="shared" si="46"/>
        <v>2689.5</v>
      </c>
      <c r="M84" s="169">
        <f t="shared" si="47"/>
        <v>0.2111176002216073</v>
      </c>
      <c r="N84" s="167">
        <f t="shared" si="48"/>
        <v>12.28</v>
      </c>
      <c r="O84" s="169">
        <f t="shared" si="18"/>
        <v>0.26838623884514634</v>
      </c>
      <c r="P84" s="167">
        <f t="shared" si="49"/>
        <v>9.8800000000000008</v>
      </c>
      <c r="Q84" s="168">
        <f t="shared" si="50"/>
        <v>22.16</v>
      </c>
      <c r="R84" s="168">
        <f t="shared" si="51"/>
        <v>1842</v>
      </c>
      <c r="S84" s="168">
        <f t="shared" si="52"/>
        <v>1482</v>
      </c>
      <c r="T84" s="168">
        <f t="shared" si="53"/>
        <v>3324</v>
      </c>
    </row>
    <row r="85" spans="1:20" ht="15.75" thickBot="1" x14ac:dyDescent="0.3">
      <c r="A85" s="1" t="str">
        <f>'Planilha de Composição'!A328</f>
        <v>8.11</v>
      </c>
      <c r="B85" s="1" t="str">
        <f>'Planilha de Composição'!B328</f>
        <v>SINAPI</v>
      </c>
      <c r="C85" s="1">
        <f>'Planilha de Composição'!C328</f>
        <v>97641</v>
      </c>
      <c r="D85" s="348" t="str">
        <f>'Planilha de Composição'!D328</f>
        <v>REMOÇÃO DE FORRO DE GESSO, DE FORMA MANUAL, SEM REAPROVEITAMENTO. AF_09/2023</v>
      </c>
      <c r="E85" s="1" t="str">
        <f>'Planilha de Composição'!E328</f>
        <v>m²</v>
      </c>
      <c r="F85" s="351">
        <v>145</v>
      </c>
      <c r="G85" s="3">
        <f>'Planilha de Composição'!H328</f>
        <v>0</v>
      </c>
      <c r="H85" s="3">
        <f>'Planilha de Composição'!I328</f>
        <v>3.38</v>
      </c>
      <c r="I85" s="117">
        <f t="shared" si="44"/>
        <v>3.38</v>
      </c>
      <c r="J85" s="166">
        <f t="shared" si="45"/>
        <v>0</v>
      </c>
      <c r="K85" s="166">
        <f t="shared" si="45"/>
        <v>490.1</v>
      </c>
      <c r="L85" s="167">
        <f t="shared" si="46"/>
        <v>490.1</v>
      </c>
      <c r="M85" s="169">
        <f t="shared" si="47"/>
        <v>0.2111176002216073</v>
      </c>
      <c r="N85" s="167">
        <f t="shared" si="48"/>
        <v>0</v>
      </c>
      <c r="O85" s="169">
        <f t="shared" si="18"/>
        <v>0.26838623884514634</v>
      </c>
      <c r="P85" s="167">
        <f t="shared" si="49"/>
        <v>4.29</v>
      </c>
      <c r="Q85" s="168">
        <f t="shared" si="50"/>
        <v>4.29</v>
      </c>
      <c r="R85" s="168">
        <f t="shared" si="51"/>
        <v>0</v>
      </c>
      <c r="S85" s="168">
        <f t="shared" si="52"/>
        <v>622.04999999999995</v>
      </c>
      <c r="T85" s="168">
        <f t="shared" si="53"/>
        <v>622.04999999999995</v>
      </c>
    </row>
    <row r="86" spans="1:20" ht="15.75" thickBot="1" x14ac:dyDescent="0.3">
      <c r="A86" s="1" t="str">
        <f>'Planilha de Composição'!A331</f>
        <v>8.12</v>
      </c>
      <c r="B86" s="1" t="str">
        <f>'Planilha de Composição'!B331</f>
        <v>SINAPI</v>
      </c>
      <c r="C86" s="1">
        <f>'Planilha de Composição'!C331</f>
        <v>96113</v>
      </c>
      <c r="D86" s="348" t="str">
        <f>'Planilha de Composição'!D331</f>
        <v xml:space="preserve">FORNECIMENTO E INSTALAÇÃO DE FORRO EM PLACAS DE GESSO, COM PINTURA ANTIMOFO, APOIADO EM PERFIS DE AÇO GALVANIZADO, PARA RECONSTITUIÇÃO DAS ÁREAS AFETADAS PELA OBRA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86" s="1" t="str">
        <f>'Planilha de Composição'!E331</f>
        <v>m²</v>
      </c>
      <c r="F86" s="351">
        <v>145</v>
      </c>
      <c r="G86" s="3">
        <f>'Planilha de Composição'!H331</f>
        <v>33.909999999999997</v>
      </c>
      <c r="H86" s="3">
        <f>'Planilha de Composição'!I331</f>
        <v>14.53</v>
      </c>
      <c r="I86" s="117">
        <f t="shared" si="44"/>
        <v>48.44</v>
      </c>
      <c r="J86" s="166">
        <f t="shared" si="45"/>
        <v>4916.95</v>
      </c>
      <c r="K86" s="166">
        <f t="shared" si="45"/>
        <v>2106.85</v>
      </c>
      <c r="L86" s="167">
        <f t="shared" si="46"/>
        <v>7023.7999999999993</v>
      </c>
      <c r="M86" s="169">
        <f t="shared" si="47"/>
        <v>0.2111176002216073</v>
      </c>
      <c r="N86" s="167">
        <f t="shared" si="48"/>
        <v>41.07</v>
      </c>
      <c r="O86" s="169">
        <f t="shared" si="18"/>
        <v>0.26838623884514634</v>
      </c>
      <c r="P86" s="167">
        <f t="shared" si="49"/>
        <v>18.43</v>
      </c>
      <c r="Q86" s="168">
        <f t="shared" si="50"/>
        <v>59.5</v>
      </c>
      <c r="R86" s="168">
        <f t="shared" si="51"/>
        <v>5955.15</v>
      </c>
      <c r="S86" s="168">
        <f t="shared" si="52"/>
        <v>2672.35</v>
      </c>
      <c r="T86" s="168">
        <f t="shared" si="53"/>
        <v>8627.5</v>
      </c>
    </row>
    <row r="87" spans="1:20" ht="15.75" thickBot="1" x14ac:dyDescent="0.3">
      <c r="A87" s="1" t="str">
        <f>'Planilha de Composição'!A333</f>
        <v>8.13</v>
      </c>
      <c r="B87" s="1" t="str">
        <f>'Planilha de Composição'!B333</f>
        <v>SINAPI</v>
      </c>
      <c r="C87" s="1">
        <f>'Planilha de Composição'!C333</f>
        <v>97064</v>
      </c>
      <c r="D87" s="348" t="str">
        <f>'Planilha de Composição'!D333</f>
        <v xml:space="preserve">MONTAGEM E DESMONTAGEM DE ANDAIME TIPO TORRE </v>
      </c>
      <c r="E87" s="1" t="str">
        <f>'Planilha de Composição'!E333</f>
        <v>m</v>
      </c>
      <c r="F87" s="351">
        <v>45</v>
      </c>
      <c r="G87" s="3">
        <f>'Planilha de Composição'!H333</f>
        <v>0</v>
      </c>
      <c r="H87" s="3">
        <f>'Planilha de Composição'!I333</f>
        <v>21.36</v>
      </c>
      <c r="I87" s="117">
        <f t="shared" si="44"/>
        <v>21.36</v>
      </c>
      <c r="J87" s="166">
        <f t="shared" si="45"/>
        <v>0</v>
      </c>
      <c r="K87" s="166">
        <f t="shared" si="45"/>
        <v>961.2</v>
      </c>
      <c r="L87" s="167">
        <f t="shared" si="46"/>
        <v>961.2</v>
      </c>
      <c r="M87" s="169">
        <f t="shared" si="47"/>
        <v>0.2111176002216073</v>
      </c>
      <c r="N87" s="167">
        <f t="shared" si="48"/>
        <v>0</v>
      </c>
      <c r="O87" s="169">
        <f t="shared" si="18"/>
        <v>0.26838623884514634</v>
      </c>
      <c r="P87" s="167">
        <f t="shared" si="49"/>
        <v>27.09</v>
      </c>
      <c r="Q87" s="168">
        <f t="shared" si="50"/>
        <v>27.09</v>
      </c>
      <c r="R87" s="168">
        <f t="shared" si="51"/>
        <v>0</v>
      </c>
      <c r="S87" s="168">
        <f t="shared" si="52"/>
        <v>1219.05</v>
      </c>
      <c r="T87" s="168">
        <f t="shared" si="53"/>
        <v>1219.05</v>
      </c>
    </row>
    <row r="88" spans="1:20" ht="27" thickBot="1" x14ac:dyDescent="0.3">
      <c r="A88" s="1" t="str">
        <f>'Planilha de Composição'!A337</f>
        <v>8.14</v>
      </c>
      <c r="B88" s="1" t="str">
        <f>'Planilha de Composição'!B337</f>
        <v>C.P</v>
      </c>
      <c r="C88" s="1">
        <f>'Planilha de Composição'!C337</f>
        <v>0</v>
      </c>
      <c r="D88" s="348" t="str">
        <f>'Planilha de Composição'!D337</f>
        <v>REMOÇÃO E ARMAZENAMENTO DE ENTULHOS DA OBRA COM CAÇAMBA METÁLICA (4,00m³), ABRANGENDO RESÍDUOS METÁLICOS, PLÁSTICOS, MADEIRA, PAPEL CONCRETO, ARGAMASSA, TERRA E/OU ALVENARIA, INCLUSIVE TRANSPORTE AO LOCAL DE DESPEJO/DESTINAÇÃO</v>
      </c>
      <c r="E88" s="1" t="str">
        <f>'Planilha de Composição'!E337</f>
        <v>m³</v>
      </c>
      <c r="F88" s="351">
        <v>5</v>
      </c>
      <c r="G88" s="3">
        <f>'Planilha de Composição'!H337</f>
        <v>93.36</v>
      </c>
      <c r="H88" s="3">
        <f>'Planilha de Composição'!I337</f>
        <v>15.25</v>
      </c>
      <c r="I88" s="117">
        <f t="shared" si="44"/>
        <v>108.61</v>
      </c>
      <c r="J88" s="166">
        <f t="shared" si="45"/>
        <v>466.8</v>
      </c>
      <c r="K88" s="166">
        <f t="shared" si="45"/>
        <v>76.25</v>
      </c>
      <c r="L88" s="167">
        <f t="shared" si="46"/>
        <v>543.04999999999995</v>
      </c>
      <c r="M88" s="169">
        <f t="shared" si="47"/>
        <v>0.2111176002216073</v>
      </c>
      <c r="N88" s="167">
        <f t="shared" si="48"/>
        <v>113.07</v>
      </c>
      <c r="O88" s="169">
        <f t="shared" si="18"/>
        <v>0.26838623884514634</v>
      </c>
      <c r="P88" s="167">
        <f t="shared" si="49"/>
        <v>19.34</v>
      </c>
      <c r="Q88" s="168">
        <f t="shared" si="50"/>
        <v>132.41</v>
      </c>
      <c r="R88" s="168">
        <f t="shared" si="51"/>
        <v>565.35</v>
      </c>
      <c r="S88" s="168">
        <f t="shared" si="52"/>
        <v>96.7</v>
      </c>
      <c r="T88" s="168">
        <f t="shared" si="53"/>
        <v>662.05000000000007</v>
      </c>
    </row>
    <row r="89" spans="1:20" ht="15.75" thickBot="1" x14ac:dyDescent="0.3">
      <c r="A89" s="1" t="str">
        <f>'Planilha de Composição'!A340</f>
        <v>8.15</v>
      </c>
      <c r="B89" s="1" t="str">
        <f>'Planilha de Composição'!B340</f>
        <v>SINAPI</v>
      </c>
      <c r="C89" s="1">
        <f>'Planilha de Composição'!C340</f>
        <v>99802</v>
      </c>
      <c r="D89" s="348" t="str">
        <f>'Planilha de Composição'!D340</f>
        <v>LIMPEZA FINAL DA OBRA ( INCLUSIVE DURANTE A EXECUÇÃO).</v>
      </c>
      <c r="E89" s="1" t="str">
        <f>'Planilha de Composição'!E340</f>
        <v>m²</v>
      </c>
      <c r="F89" s="351">
        <v>495</v>
      </c>
      <c r="G89" s="3">
        <f>'Planilha de Composição'!H340</f>
        <v>0</v>
      </c>
      <c r="H89" s="3">
        <f>'Planilha de Composição'!I340</f>
        <v>0.63</v>
      </c>
      <c r="I89" s="117">
        <f t="shared" si="44"/>
        <v>0.63</v>
      </c>
      <c r="J89" s="166">
        <f t="shared" si="45"/>
        <v>0</v>
      </c>
      <c r="K89" s="166">
        <f t="shared" si="45"/>
        <v>311.85000000000002</v>
      </c>
      <c r="L89" s="167">
        <f t="shared" si="46"/>
        <v>311.85000000000002</v>
      </c>
      <c r="M89" s="169">
        <f t="shared" si="47"/>
        <v>0.2111176002216073</v>
      </c>
      <c r="N89" s="167">
        <f t="shared" si="48"/>
        <v>0</v>
      </c>
      <c r="O89" s="169">
        <f t="shared" si="18"/>
        <v>0.26838623884514634</v>
      </c>
      <c r="P89" s="167">
        <f t="shared" si="49"/>
        <v>0.8</v>
      </c>
      <c r="Q89" s="168">
        <f t="shared" si="50"/>
        <v>0.8</v>
      </c>
      <c r="R89" s="168">
        <f t="shared" si="51"/>
        <v>0</v>
      </c>
      <c r="S89" s="168">
        <f t="shared" si="52"/>
        <v>396</v>
      </c>
      <c r="T89" s="168">
        <f t="shared" si="53"/>
        <v>396</v>
      </c>
    </row>
    <row r="90" spans="1:20" ht="20.25" hidden="1" customHeight="1" x14ac:dyDescent="0.25">
      <c r="A90" s="2"/>
      <c r="B90" s="2"/>
      <c r="C90" s="8"/>
      <c r="D90" s="2"/>
      <c r="E90" s="135" t="s">
        <v>58</v>
      </c>
      <c r="F90" s="136"/>
      <c r="G90" s="136"/>
      <c r="H90" s="136"/>
      <c r="I90" s="152"/>
      <c r="J90" s="137">
        <f>J16</f>
        <v>272508.17000000004</v>
      </c>
      <c r="K90" s="138"/>
      <c r="L90" s="138"/>
      <c r="M90" s="139">
        <f>$L$2</f>
        <v>0.2111176002216073</v>
      </c>
      <c r="N90" s="138"/>
      <c r="O90" s="138"/>
      <c r="P90" s="138"/>
      <c r="Q90" s="138"/>
      <c r="R90" s="138"/>
      <c r="S90" s="138"/>
      <c r="T90" s="140"/>
    </row>
    <row r="91" spans="1:20" ht="20.25" hidden="1" customHeight="1" x14ac:dyDescent="0.25">
      <c r="E91" s="141" t="s">
        <v>59</v>
      </c>
      <c r="F91" s="142"/>
      <c r="G91" s="142"/>
      <c r="H91" s="142"/>
      <c r="I91" s="142"/>
      <c r="J91" s="143">
        <f>J7+J13+J30+J44+J50+J64+J74</f>
        <v>99504.81</v>
      </c>
      <c r="K91" s="144"/>
      <c r="L91" s="144"/>
      <c r="M91" s="145">
        <f>$K$2</f>
        <v>0.26838623884514634</v>
      </c>
      <c r="N91" s="144"/>
      <c r="O91" s="144"/>
      <c r="P91" s="144"/>
      <c r="Q91" s="144"/>
      <c r="R91" s="144"/>
      <c r="S91" s="144"/>
      <c r="T91" s="146"/>
    </row>
    <row r="92" spans="1:20" ht="21" hidden="1" customHeight="1" x14ac:dyDescent="0.25">
      <c r="E92" s="141" t="s">
        <v>60</v>
      </c>
      <c r="F92" s="142"/>
      <c r="G92" s="142"/>
      <c r="H92" s="142"/>
      <c r="I92" s="142"/>
      <c r="J92" s="143"/>
      <c r="K92" s="144">
        <f>K7+K13+K16+K30+K44+K50+K64+K74</f>
        <v>130050.27000000002</v>
      </c>
      <c r="L92" s="144"/>
      <c r="M92" s="145">
        <f>$K$2</f>
        <v>0.26838623884514634</v>
      </c>
      <c r="N92" s="144"/>
      <c r="O92" s="144"/>
      <c r="P92" s="144"/>
      <c r="Q92" s="144"/>
      <c r="R92" s="144"/>
      <c r="S92" s="144"/>
      <c r="T92" s="146"/>
    </row>
    <row r="93" spans="1:20" ht="21" hidden="1" customHeight="1" x14ac:dyDescent="0.25">
      <c r="E93" s="141" t="s">
        <v>68</v>
      </c>
      <c r="F93" s="142"/>
      <c r="G93" s="142"/>
      <c r="H93" s="142"/>
      <c r="I93" s="142"/>
      <c r="J93" s="143"/>
      <c r="K93" s="144"/>
      <c r="L93" s="144"/>
      <c r="M93" s="145"/>
      <c r="N93" s="144"/>
      <c r="O93" s="144"/>
      <c r="P93" s="144"/>
      <c r="Q93" s="144"/>
      <c r="R93" s="144">
        <f>R16</f>
        <v>330039.33999999991</v>
      </c>
      <c r="S93" s="144"/>
      <c r="T93" s="146"/>
    </row>
    <row r="94" spans="1:20" ht="21" hidden="1" customHeight="1" x14ac:dyDescent="0.25">
      <c r="E94" s="141" t="s">
        <v>66</v>
      </c>
      <c r="F94" s="142"/>
      <c r="G94" s="142"/>
      <c r="H94" s="142"/>
      <c r="I94" s="142"/>
      <c r="J94" s="143"/>
      <c r="K94" s="144"/>
      <c r="L94" s="144"/>
      <c r="M94" s="145"/>
      <c r="N94" s="144"/>
      <c r="O94" s="144"/>
      <c r="P94" s="144"/>
      <c r="Q94" s="144"/>
      <c r="R94" s="144">
        <f>R7+R13+R30+R44+R50+R64+R74</f>
        <v>120509.01</v>
      </c>
      <c r="S94" s="144"/>
      <c r="T94" s="146"/>
    </row>
    <row r="95" spans="1:20" ht="20.25" hidden="1" customHeight="1" x14ac:dyDescent="0.25">
      <c r="E95" s="141" t="s">
        <v>69</v>
      </c>
      <c r="F95" s="142"/>
      <c r="G95" s="142"/>
      <c r="H95" s="142"/>
      <c r="I95" s="142"/>
      <c r="J95" s="143"/>
      <c r="K95" s="144"/>
      <c r="L95" s="144"/>
      <c r="M95" s="145"/>
      <c r="N95" s="144"/>
      <c r="O95" s="144"/>
      <c r="P95" s="144"/>
      <c r="Q95" s="144"/>
      <c r="R95" s="144"/>
      <c r="S95" s="144">
        <f>S7+S13+S16+S30+S44+S50+S64+S74</f>
        <v>164957.55000000005</v>
      </c>
      <c r="T95" s="146"/>
    </row>
    <row r="96" spans="1:20" ht="23.25" customHeight="1" thickBot="1" x14ac:dyDescent="0.3">
      <c r="E96" s="119" t="s">
        <v>355</v>
      </c>
      <c r="F96" s="120"/>
      <c r="G96" s="120"/>
      <c r="H96" s="120"/>
      <c r="I96" s="120"/>
      <c r="J96" s="121"/>
      <c r="K96" s="118"/>
      <c r="L96" s="118">
        <f>J90+J91+K92</f>
        <v>502063.25000000006</v>
      </c>
      <c r="M96" s="76"/>
      <c r="N96" s="118"/>
      <c r="O96" s="118"/>
      <c r="P96" s="118"/>
      <c r="Q96" s="118"/>
      <c r="R96" s="118"/>
      <c r="S96" s="118"/>
      <c r="T96" s="346">
        <f>R93+R94+S95</f>
        <v>615505.89999999991</v>
      </c>
    </row>
    <row r="98" spans="18:20" x14ac:dyDescent="0.25">
      <c r="T98" s="147"/>
    </row>
    <row r="99" spans="18:20" x14ac:dyDescent="0.25">
      <c r="R99" s="147"/>
    </row>
    <row r="100" spans="18:20" x14ac:dyDescent="0.25">
      <c r="R100" s="147"/>
    </row>
    <row r="101" spans="18:20" x14ac:dyDescent="0.25">
      <c r="R101" s="147"/>
    </row>
  </sheetData>
  <mergeCells count="13">
    <mergeCell ref="A3:D3"/>
    <mergeCell ref="E3:T3"/>
    <mergeCell ref="A4:D4"/>
    <mergeCell ref="E4:T4"/>
    <mergeCell ref="A5:D5"/>
    <mergeCell ref="E5:F5"/>
    <mergeCell ref="I5:T5"/>
    <mergeCell ref="A1:T1"/>
    <mergeCell ref="A2:D2"/>
    <mergeCell ref="E2:F2"/>
    <mergeCell ref="G2:H2"/>
    <mergeCell ref="M2:N2"/>
    <mergeCell ref="Q2:R2"/>
  </mergeCells>
  <printOptions horizontalCentered="1"/>
  <pageMargins left="0.19685039370078741" right="0.19685039370078741" top="0.19685039370078741" bottom="0.19685039370078741" header="0.31496062992125984" footer="0.31496062992125984"/>
  <pageSetup paperSize="8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1"/>
  <sheetViews>
    <sheetView zoomScale="50" zoomScaleNormal="50" workbookViewId="0">
      <selection activeCell="D16" sqref="D16"/>
    </sheetView>
  </sheetViews>
  <sheetFormatPr defaultRowHeight="15" x14ac:dyDescent="0.25"/>
  <cols>
    <col min="1" max="1" width="9.85546875" customWidth="1"/>
    <col min="2" max="2" width="7.85546875" bestFit="1" customWidth="1"/>
    <col min="3" max="3" width="9.140625" style="9" customWidth="1"/>
    <col min="4" max="4" width="203.5703125" customWidth="1"/>
    <col min="5" max="5" width="13.85546875" customWidth="1"/>
    <col min="6" max="6" width="19.5703125" customWidth="1"/>
    <col min="7" max="12" width="30.42578125" customWidth="1"/>
    <col min="13" max="13" width="14" customWidth="1"/>
    <col min="14" max="14" width="30.42578125" customWidth="1"/>
    <col min="15" max="15" width="14" customWidth="1"/>
    <col min="16" max="16" width="30.42578125" customWidth="1"/>
    <col min="17" max="17" width="37.28515625" customWidth="1"/>
    <col min="18" max="19" width="30.42578125" customWidth="1"/>
    <col min="20" max="20" width="37" customWidth="1"/>
    <col min="21" max="21" width="22.28515625" customWidth="1"/>
    <col min="22" max="22" width="14.140625" customWidth="1"/>
    <col min="23" max="23" width="14.28515625" customWidth="1"/>
    <col min="24" max="24" width="12.42578125" customWidth="1"/>
  </cols>
  <sheetData>
    <row r="1" spans="1:20" ht="81.75" customHeight="1" thickBot="1" x14ac:dyDescent="0.3">
      <c r="A1" s="392" t="s">
        <v>428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4"/>
    </row>
    <row r="2" spans="1:20" ht="15.75" thickBot="1" x14ac:dyDescent="0.3">
      <c r="A2" s="395" t="str">
        <f>'Planilha de Composição'!A2:D2</f>
        <v>OBRA: Implantação de Sistemas de HVAC e Instalações Elétricas</v>
      </c>
      <c r="B2" s="396"/>
      <c r="C2" s="396"/>
      <c r="D2" s="397"/>
      <c r="E2" s="398" t="s">
        <v>20</v>
      </c>
      <c r="F2" s="400"/>
      <c r="G2" s="400"/>
      <c r="H2" s="400"/>
      <c r="I2" s="442"/>
      <c r="J2" s="90" t="str">
        <f>'Planilha de Composição'!I5</f>
        <v>BDI (Serviços I Mat.):</v>
      </c>
      <c r="K2" s="248">
        <f>'Planilha de Composição'!J5</f>
        <v>0.26838623884514634</v>
      </c>
      <c r="L2" s="273">
        <f>('Cálculo do BDI'!B34)/100</f>
        <v>0.2111176002216073</v>
      </c>
      <c r="M2" s="401"/>
      <c r="N2" s="402"/>
      <c r="O2" s="188"/>
      <c r="P2" s="188"/>
      <c r="Q2" s="398" t="s">
        <v>354</v>
      </c>
      <c r="R2" s="400"/>
      <c r="S2" s="188"/>
      <c r="T2" s="198" t="s">
        <v>0</v>
      </c>
    </row>
    <row r="3" spans="1:20" ht="15.75" thickBot="1" x14ac:dyDescent="0.3">
      <c r="A3" s="403" t="str">
        <f>'Planilha de Composição'!A3:D3</f>
        <v>CONTRATANTE: CÂMARA MUNICIPAL DE PIEDADE</v>
      </c>
      <c r="B3" s="404"/>
      <c r="C3" s="404"/>
      <c r="D3" s="405"/>
      <c r="E3" s="406" t="str">
        <f>'Planilha de Composição'!E3:S3</f>
        <v>UNIDADE: EDIFÍCIO SEDE</v>
      </c>
      <c r="F3" s="407" t="s">
        <v>1</v>
      </c>
      <c r="G3" s="407"/>
      <c r="H3" s="407"/>
      <c r="I3" s="407"/>
      <c r="J3" s="407" t="s">
        <v>1</v>
      </c>
      <c r="K3" s="407"/>
      <c r="L3" s="407"/>
      <c r="M3" s="407"/>
      <c r="N3" s="407"/>
      <c r="O3" s="407"/>
      <c r="P3" s="407"/>
      <c r="Q3" s="407"/>
      <c r="R3" s="407"/>
      <c r="S3" s="407"/>
      <c r="T3" s="408" t="s">
        <v>1</v>
      </c>
    </row>
    <row r="4" spans="1:20" ht="32.25" customHeight="1" thickBot="1" x14ac:dyDescent="0.3">
      <c r="A4" s="403" t="str">
        <f>'Planilha de Composição'!A4:D4</f>
        <v>ETAPA: EXECUTIVO</v>
      </c>
      <c r="B4" s="404"/>
      <c r="C4" s="404"/>
      <c r="D4" s="405"/>
      <c r="E4" s="409" t="str">
        <f>'Planilha de Composição'!E4:S4</f>
        <v>REF. PREÇO: SINAPI REF. 05/2024 - SÃO PAULO  I  CDHU - Planilha Versão 191.</v>
      </c>
      <c r="F4" s="410" t="s">
        <v>2</v>
      </c>
      <c r="G4" s="410"/>
      <c r="H4" s="410"/>
      <c r="I4" s="410"/>
      <c r="J4" s="410" t="s">
        <v>2</v>
      </c>
      <c r="K4" s="410"/>
      <c r="L4" s="410"/>
      <c r="M4" s="410"/>
      <c r="N4" s="410"/>
      <c r="O4" s="410"/>
      <c r="P4" s="410"/>
      <c r="Q4" s="410"/>
      <c r="R4" s="410"/>
      <c r="S4" s="410"/>
      <c r="T4" s="411" t="s">
        <v>2</v>
      </c>
    </row>
    <row r="5" spans="1:20" ht="15.75" customHeight="1" thickBot="1" x14ac:dyDescent="0.3">
      <c r="A5" s="403" t="str">
        <f>'Planilha de Composição'!A5:D5</f>
        <v>ENCARGOS SOCIAIS (DESONERADO): HORISTA: 85,80% I MENSALISTA: 47,74% (REF. SINAPI - 05/2024)</v>
      </c>
      <c r="B5" s="404"/>
      <c r="C5" s="404"/>
      <c r="D5" s="405"/>
      <c r="E5" s="406" t="str">
        <f>'Planilha de Composição'!E5:F5</f>
        <v>REVISÃO: 00</v>
      </c>
      <c r="F5" s="412"/>
      <c r="G5" s="97"/>
      <c r="H5" s="97"/>
      <c r="I5" s="407" t="s">
        <v>85</v>
      </c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8"/>
    </row>
    <row r="6" spans="1:20" ht="15.75" thickBot="1" x14ac:dyDescent="0.3">
      <c r="A6" s="52" t="s">
        <v>5</v>
      </c>
      <c r="B6" s="52" t="s">
        <v>6</v>
      </c>
      <c r="C6" s="53" t="s">
        <v>7</v>
      </c>
      <c r="D6" s="54" t="s">
        <v>3</v>
      </c>
      <c r="E6" s="52" t="s">
        <v>4</v>
      </c>
      <c r="F6" s="52" t="s">
        <v>19</v>
      </c>
      <c r="G6" s="52" t="str">
        <f>'Planilha de Composição'!H6</f>
        <v>Custo Unit. Mat.</v>
      </c>
      <c r="H6" s="52" t="str">
        <f>'Planilha de Composição'!I6</f>
        <v>Custo Unit. M.O</v>
      </c>
      <c r="I6" s="52" t="s">
        <v>63</v>
      </c>
      <c r="J6" s="52" t="str">
        <f>'Planilha de Composição'!K6</f>
        <v>Custo Total Mat.</v>
      </c>
      <c r="K6" s="52" t="str">
        <f>'Planilha de Composição'!L6</f>
        <v>Custo Total M.O</v>
      </c>
      <c r="L6" s="52" t="str">
        <f>'Planilha de Composição'!M6</f>
        <v>Custo Total</v>
      </c>
      <c r="M6" s="52" t="s">
        <v>64</v>
      </c>
      <c r="N6" s="52" t="str">
        <f>'Planilha de Composição'!O6</f>
        <v>Preço Unit. Mat.</v>
      </c>
      <c r="O6" s="52" t="s">
        <v>65</v>
      </c>
      <c r="P6" s="52" t="str">
        <f>'Planilha de Composição'!Q6</f>
        <v>Preço Unit. M.O</v>
      </c>
      <c r="Q6" s="52" t="s">
        <v>353</v>
      </c>
      <c r="R6" s="52" t="str">
        <f>'Planilha de Composição'!R6</f>
        <v>Preço Total Mat.</v>
      </c>
      <c r="S6" s="52" t="str">
        <f>'Planilha de Composição'!S6</f>
        <v>Preço Total M.O</v>
      </c>
      <c r="T6" s="52" t="str">
        <f>'Planilha de Composição'!T6</f>
        <v>Preço Total</v>
      </c>
    </row>
    <row r="7" spans="1:20" ht="15.75" thickBot="1" x14ac:dyDescent="0.3">
      <c r="A7" s="55">
        <f>'Planilha de Composição'!A7</f>
        <v>1</v>
      </c>
      <c r="B7" s="50"/>
      <c r="C7" s="51"/>
      <c r="D7" s="55" t="str">
        <f>'Planilha de Composição'!D7</f>
        <v>Serviços Preliminares e Instalações Provisórias</v>
      </c>
      <c r="E7" s="55"/>
      <c r="F7" s="71"/>
      <c r="G7" s="71"/>
      <c r="H7" s="71"/>
      <c r="I7" s="71"/>
      <c r="J7" s="69">
        <f>SUM(J8:J12)</f>
        <v>3000.8199999999997</v>
      </c>
      <c r="K7" s="69">
        <f>SUM(K8:K12)</f>
        <v>3104.38</v>
      </c>
      <c r="L7" s="70">
        <f>SUM(L8:L12)</f>
        <v>6105.2000000000007</v>
      </c>
      <c r="M7" s="75">
        <f t="shared" ref="M7:M16" si="0">$L$2</f>
        <v>0.2111176002216073</v>
      </c>
      <c r="N7" s="70"/>
      <c r="O7" s="75">
        <f t="shared" ref="O7:O16" si="1">$K$2</f>
        <v>0.26838623884514634</v>
      </c>
      <c r="P7" s="70"/>
      <c r="Q7" s="69"/>
      <c r="R7" s="69">
        <f>SUM(R8:R12)</f>
        <v>3634.36</v>
      </c>
      <c r="S7" s="69">
        <f>SUM(S8:S12)</f>
        <v>3937.54</v>
      </c>
      <c r="T7" s="69">
        <f>SUM(T8:T12)</f>
        <v>7571.9000000000005</v>
      </c>
    </row>
    <row r="8" spans="1:20" ht="15.75" thickBot="1" x14ac:dyDescent="0.3">
      <c r="A8" s="1" t="str">
        <f>'Planilha de Composição'!A8</f>
        <v>1.1</v>
      </c>
      <c r="B8" s="1" t="str">
        <f>'Planilha de Composição'!B8</f>
        <v>C.P</v>
      </c>
      <c r="C8" s="1">
        <f>'Planilha de Composição'!C8</f>
        <v>0</v>
      </c>
      <c r="D8" s="348" t="str">
        <f>'Planilha de Composição'!D8</f>
        <v>PLACA DE OBRA EM CHAPA DE AÇO GALVANIZADO, FORNECIMENTO E INSTALAÇÃO</v>
      </c>
      <c r="E8" s="1" t="str">
        <f>'Planilha de Composição'!E8</f>
        <v>m²</v>
      </c>
      <c r="F8" s="351">
        <v>2.0000000000000004</v>
      </c>
      <c r="G8" s="117">
        <f>'Planilha de Composição'!H8</f>
        <v>283.61</v>
      </c>
      <c r="H8" s="117">
        <f>'Planilha de Composição'!I8</f>
        <v>112.86</v>
      </c>
      <c r="I8" s="117">
        <f>H8+G8</f>
        <v>396.47</v>
      </c>
      <c r="J8" s="166">
        <f t="shared" ref="J8:K12" si="2">ROUND(G8*$F8,2)</f>
        <v>567.22</v>
      </c>
      <c r="K8" s="166">
        <f t="shared" si="2"/>
        <v>225.72</v>
      </c>
      <c r="L8" s="167">
        <f>K8+J8</f>
        <v>792.94</v>
      </c>
      <c r="M8" s="169">
        <f t="shared" si="0"/>
        <v>0.2111176002216073</v>
      </c>
      <c r="N8" s="167">
        <f>ROUND(G8*(1+$M8),2)</f>
        <v>343.49</v>
      </c>
      <c r="O8" s="169">
        <f t="shared" si="1"/>
        <v>0.26838623884514634</v>
      </c>
      <c r="P8" s="167">
        <f>ROUND(H8*(1+$O8),2)</f>
        <v>143.15</v>
      </c>
      <c r="Q8" s="168">
        <f>P8+N8</f>
        <v>486.64</v>
      </c>
      <c r="R8" s="168">
        <f>ROUND(N8*$F8,2)</f>
        <v>686.98</v>
      </c>
      <c r="S8" s="168">
        <f>ROUND(P8*$F8,2)</f>
        <v>286.3</v>
      </c>
      <c r="T8" s="168">
        <f>S8+R8</f>
        <v>973.28</v>
      </c>
    </row>
    <row r="9" spans="1:20" ht="15.75" thickBot="1" x14ac:dyDescent="0.3">
      <c r="A9" s="1" t="str">
        <f>'Planilha de Composição'!A16</f>
        <v>1.2</v>
      </c>
      <c r="B9" s="1" t="str">
        <f>'Planilha de Composição'!B16</f>
        <v>C.P</v>
      </c>
      <c r="C9" s="1">
        <f>'Planilha de Composição'!C16</f>
        <v>0</v>
      </c>
      <c r="D9" s="348" t="str">
        <f>'Planilha de Composição'!D16</f>
        <v>ANOTAÇÕES DE RESPONSABILIDADE TÉCNICA DE EXECUÇÃO DO PROJETO</v>
      </c>
      <c r="E9" s="1" t="str">
        <f>'Planilha de Composição'!E16</f>
        <v>un</v>
      </c>
      <c r="F9" s="351">
        <v>2.0000000000000004</v>
      </c>
      <c r="G9" s="190">
        <f>'Planilha de Composição'!H16</f>
        <v>0</v>
      </c>
      <c r="H9" s="190">
        <f>'Planilha de Composição'!I16</f>
        <v>262.55</v>
      </c>
      <c r="I9" s="117">
        <f>H9+G9</f>
        <v>262.55</v>
      </c>
      <c r="J9" s="166">
        <f t="shared" si="2"/>
        <v>0</v>
      </c>
      <c r="K9" s="166">
        <f t="shared" si="2"/>
        <v>525.1</v>
      </c>
      <c r="L9" s="167">
        <f>K9+J9</f>
        <v>525.1</v>
      </c>
      <c r="M9" s="169">
        <f t="shared" si="0"/>
        <v>0.2111176002216073</v>
      </c>
      <c r="N9" s="167">
        <f>ROUND(G9*(1+$M9),2)</f>
        <v>0</v>
      </c>
      <c r="O9" s="169">
        <f t="shared" si="1"/>
        <v>0.26838623884514634</v>
      </c>
      <c r="P9" s="167">
        <f>ROUND(H9*(1+$O9),2)</f>
        <v>333.01</v>
      </c>
      <c r="Q9" s="168">
        <f>P9+N9</f>
        <v>333.01</v>
      </c>
      <c r="R9" s="168">
        <f>ROUND(N9*$F9,2)</f>
        <v>0</v>
      </c>
      <c r="S9" s="168">
        <f>ROUND(P9*$F9,2)</f>
        <v>666.02</v>
      </c>
      <c r="T9" s="168">
        <f>S9+R9</f>
        <v>666.02</v>
      </c>
    </row>
    <row r="10" spans="1:20" ht="15.75" thickBot="1" x14ac:dyDescent="0.3">
      <c r="A10" s="1" t="str">
        <f>'Planilha de Composição'!A18</f>
        <v>1.3</v>
      </c>
      <c r="B10" s="1" t="str">
        <f>'Planilha de Composição'!B18</f>
        <v>C.P</v>
      </c>
      <c r="C10" s="1">
        <f>'Planilha de Composição'!C18</f>
        <v>0</v>
      </c>
      <c r="D10" s="348" t="str">
        <f>'Planilha de Composição'!D18</f>
        <v>ELABORAÇÃO DO PLANO DE GERENCIAMENTO DE RESÍDUOS DA CONSTRUÇÃO CIVIL (PGRCC)</v>
      </c>
      <c r="E10" s="1" t="str">
        <f>'Planilha de Composição'!E18</f>
        <v>un</v>
      </c>
      <c r="F10" s="351">
        <v>1.0000000000000002</v>
      </c>
      <c r="G10" s="190">
        <f>'Planilha de Composição'!H18</f>
        <v>0</v>
      </c>
      <c r="H10" s="190">
        <f>'Planilha de Composição'!I18</f>
        <v>1069.8</v>
      </c>
      <c r="I10" s="117">
        <f>H10+G10</f>
        <v>1069.8</v>
      </c>
      <c r="J10" s="166">
        <f t="shared" si="2"/>
        <v>0</v>
      </c>
      <c r="K10" s="166">
        <f t="shared" si="2"/>
        <v>1069.8</v>
      </c>
      <c r="L10" s="167">
        <f>K10+J10</f>
        <v>1069.8</v>
      </c>
      <c r="M10" s="169">
        <f t="shared" si="0"/>
        <v>0.2111176002216073</v>
      </c>
      <c r="N10" s="167">
        <f>ROUND(G10*(1+$M10),2)</f>
        <v>0</v>
      </c>
      <c r="O10" s="169">
        <f t="shared" si="1"/>
        <v>0.26838623884514634</v>
      </c>
      <c r="P10" s="167">
        <f>ROUND(H10*(1+$O10),2)</f>
        <v>1356.92</v>
      </c>
      <c r="Q10" s="168">
        <f>P10+N10</f>
        <v>1356.92</v>
      </c>
      <c r="R10" s="168">
        <f>ROUND(N10*$F10,2)</f>
        <v>0</v>
      </c>
      <c r="S10" s="168">
        <f>ROUND(P10*$F10,2)</f>
        <v>1356.92</v>
      </c>
      <c r="T10" s="168">
        <f>S10+R10</f>
        <v>1356.92</v>
      </c>
    </row>
    <row r="11" spans="1:20" ht="15.75" thickBot="1" x14ac:dyDescent="0.3">
      <c r="A11" s="1" t="str">
        <f>'Planilha de Composição'!A20</f>
        <v>1.4</v>
      </c>
      <c r="B11" s="1" t="str">
        <f>'Planilha de Composição'!B20</f>
        <v>C.P</v>
      </c>
      <c r="C11" s="1">
        <f>'Planilha de Composição'!C20</f>
        <v>0</v>
      </c>
      <c r="D11" s="348" t="str">
        <f>'Planilha de Composição'!D20</f>
        <v>ELABORAÇÃO DO PROGRAMA DE CONDIÇÕES E MEIO AMBIENTE (PCMAT)</v>
      </c>
      <c r="E11" s="1" t="str">
        <f>'Planilha de Composição'!E20</f>
        <v>un</v>
      </c>
      <c r="F11" s="351">
        <v>1.0000000000000002</v>
      </c>
      <c r="G11" s="190">
        <f>'Planilha de Composição'!H20</f>
        <v>0</v>
      </c>
      <c r="H11" s="190">
        <f>'Planilha de Composição'!I20</f>
        <v>1283.76</v>
      </c>
      <c r="I11" s="117">
        <f>H11+G11</f>
        <v>1283.76</v>
      </c>
      <c r="J11" s="166">
        <f t="shared" si="2"/>
        <v>0</v>
      </c>
      <c r="K11" s="166">
        <f t="shared" si="2"/>
        <v>1283.76</v>
      </c>
      <c r="L11" s="167">
        <f>K11+J11</f>
        <v>1283.76</v>
      </c>
      <c r="M11" s="169">
        <f t="shared" si="0"/>
        <v>0.2111176002216073</v>
      </c>
      <c r="N11" s="167">
        <f>ROUND(G11*(1+$M11),2)</f>
        <v>0</v>
      </c>
      <c r="O11" s="169">
        <f t="shared" si="1"/>
        <v>0.26838623884514634</v>
      </c>
      <c r="P11" s="167">
        <f>ROUND(H11*(1+$O11),2)</f>
        <v>1628.3</v>
      </c>
      <c r="Q11" s="168">
        <f>P11+N11</f>
        <v>1628.3</v>
      </c>
      <c r="R11" s="168">
        <f>ROUND(N11*$F11,2)</f>
        <v>0</v>
      </c>
      <c r="S11" s="168">
        <f>ROUND(P11*$F11,2)</f>
        <v>1628.3</v>
      </c>
      <c r="T11" s="168">
        <f>S11+R11</f>
        <v>1628.3</v>
      </c>
    </row>
    <row r="12" spans="1:20" ht="15.75" thickBot="1" x14ac:dyDescent="0.3">
      <c r="A12" s="1" t="str">
        <f>'Planilha de Composição'!A22</f>
        <v>1.5</v>
      </c>
      <c r="B12" s="1" t="str">
        <f>'Planilha de Composição'!B22</f>
        <v>C.P</v>
      </c>
      <c r="C12" s="1">
        <f>'Planilha de Composição'!C22</f>
        <v>0</v>
      </c>
      <c r="D12" s="348" t="str">
        <f>'Planilha de Composição'!D22</f>
        <v>LOCAÇÃO DE CONTAINER METÁLICO TIPO DEPÓSITO/ALMOXARIFADO DE 10,60m²</v>
      </c>
      <c r="E12" s="1" t="str">
        <f>'Planilha de Composição'!E22</f>
        <v>unxmês</v>
      </c>
      <c r="F12" s="351">
        <v>3</v>
      </c>
      <c r="G12" s="190">
        <f>'Planilha de Composição'!H22</f>
        <v>811.2</v>
      </c>
      <c r="H12" s="190">
        <f>'Planilha de Composição'!I22</f>
        <v>0</v>
      </c>
      <c r="I12" s="117">
        <f>H12+G12</f>
        <v>811.2</v>
      </c>
      <c r="J12" s="166">
        <f t="shared" si="2"/>
        <v>2433.6</v>
      </c>
      <c r="K12" s="166">
        <f t="shared" si="2"/>
        <v>0</v>
      </c>
      <c r="L12" s="167">
        <f>K12+J12</f>
        <v>2433.6</v>
      </c>
      <c r="M12" s="169">
        <f t="shared" si="0"/>
        <v>0.2111176002216073</v>
      </c>
      <c r="N12" s="167">
        <f>ROUND(G12*(1+$M12),2)</f>
        <v>982.46</v>
      </c>
      <c r="O12" s="169">
        <f t="shared" si="1"/>
        <v>0.26838623884514634</v>
      </c>
      <c r="P12" s="167">
        <f>ROUND(H12*(1+$O12),2)</f>
        <v>0</v>
      </c>
      <c r="Q12" s="168">
        <f>P12+N12</f>
        <v>982.46</v>
      </c>
      <c r="R12" s="168">
        <f>ROUND(N12*$F12,2)</f>
        <v>2947.38</v>
      </c>
      <c r="S12" s="168">
        <f>ROUND(P12*$F12,2)</f>
        <v>0</v>
      </c>
      <c r="T12" s="168">
        <f>S12+R12</f>
        <v>2947.38</v>
      </c>
    </row>
    <row r="13" spans="1:20" ht="15.75" thickBot="1" x14ac:dyDescent="0.3">
      <c r="A13" s="55">
        <f>'Planilha de Composição'!A24</f>
        <v>2</v>
      </c>
      <c r="B13" s="50"/>
      <c r="C13" s="51"/>
      <c r="D13" s="349" t="str">
        <f>'Planilha de Composição'!D24</f>
        <v>Administração Local - Pessoal Indireto, Despesas com Equipe e Despesas Administrativas</v>
      </c>
      <c r="E13" s="55"/>
      <c r="F13" s="71"/>
      <c r="G13" s="71"/>
      <c r="H13" s="71"/>
      <c r="I13" s="71"/>
      <c r="J13" s="69">
        <f>SUM(J14:J15)</f>
        <v>0</v>
      </c>
      <c r="K13" s="69">
        <f>SUM(K14:K15)</f>
        <v>44258.34</v>
      </c>
      <c r="L13" s="69">
        <f>SUM(L14:L15)</f>
        <v>44258.34</v>
      </c>
      <c r="M13" s="75">
        <f t="shared" si="0"/>
        <v>0.2111176002216073</v>
      </c>
      <c r="N13" s="70"/>
      <c r="O13" s="75">
        <f t="shared" si="1"/>
        <v>0.26838623884514634</v>
      </c>
      <c r="P13" s="70"/>
      <c r="Q13" s="69"/>
      <c r="R13" s="69">
        <f>SUM(R14:R15)</f>
        <v>0</v>
      </c>
      <c r="S13" s="69">
        <f>SUM(S14:S15)</f>
        <v>56136.66</v>
      </c>
      <c r="T13" s="69">
        <f>SUM(T14:T15)</f>
        <v>56136.66</v>
      </c>
    </row>
    <row r="14" spans="1:20" ht="15.75" thickBot="1" x14ac:dyDescent="0.3">
      <c r="A14" s="1" t="str">
        <f>'Planilha de Composição'!A25</f>
        <v>2.1</v>
      </c>
      <c r="B14" s="1" t="str">
        <f>'Planilha de Composição'!B25</f>
        <v>C.P</v>
      </c>
      <c r="C14" s="1">
        <f>'Planilha de Composição'!C25</f>
        <v>0</v>
      </c>
      <c r="D14" s="348" t="str">
        <f>'Planilha de Composição'!D25</f>
        <v>EQUIPE TÉCNICA CONSTITUÍDA POR 01 ENGENHEIRO MECÂNICO, COM ENCARGOS COMPLEMENTARES</v>
      </c>
      <c r="E14" s="1" t="str">
        <f>'Planilha de Composição'!E25</f>
        <v>mês</v>
      </c>
      <c r="F14" s="351">
        <v>3</v>
      </c>
      <c r="G14" s="3">
        <f>'Planilha de Composição'!H25</f>
        <v>0</v>
      </c>
      <c r="H14" s="3">
        <f>'Planilha de Composição'!I25</f>
        <v>7467</v>
      </c>
      <c r="I14" s="117">
        <f>H14+G14</f>
        <v>7467</v>
      </c>
      <c r="J14" s="166">
        <f>ROUND(G14*$F14,2)</f>
        <v>0</v>
      </c>
      <c r="K14" s="166">
        <f>ROUND(H14*$F14,2)</f>
        <v>22401</v>
      </c>
      <c r="L14" s="167">
        <f>K14+J14</f>
        <v>22401</v>
      </c>
      <c r="M14" s="169">
        <f t="shared" si="0"/>
        <v>0.2111176002216073</v>
      </c>
      <c r="N14" s="167">
        <f>ROUND(G14*(1+$M14),2)</f>
        <v>0</v>
      </c>
      <c r="O14" s="169">
        <f t="shared" si="1"/>
        <v>0.26838623884514634</v>
      </c>
      <c r="P14" s="167">
        <f>ROUND(H14*(1+$O14),2)</f>
        <v>9471.0400000000009</v>
      </c>
      <c r="Q14" s="168">
        <f>P14+N14</f>
        <v>9471.0400000000009</v>
      </c>
      <c r="R14" s="168">
        <f>ROUND(N14*$F14,2)</f>
        <v>0</v>
      </c>
      <c r="S14" s="168">
        <f>ROUND(P14*$F14,2)</f>
        <v>28413.119999999999</v>
      </c>
      <c r="T14" s="168">
        <f>S14+R14</f>
        <v>28413.119999999999</v>
      </c>
    </row>
    <row r="15" spans="1:20" ht="15.75" thickBot="1" x14ac:dyDescent="0.3">
      <c r="A15" s="1" t="str">
        <f>'Planilha de Composição'!A27</f>
        <v>2.2</v>
      </c>
      <c r="B15" s="1" t="str">
        <f>'Planilha de Composição'!B27</f>
        <v>SINAPI</v>
      </c>
      <c r="C15" s="1">
        <f>'Planilha de Composição'!C27</f>
        <v>93572</v>
      </c>
      <c r="D15" s="348" t="str">
        <f>'Planilha de Composição'!D27</f>
        <v>ENCARREGADO GERAL DE OBRAS COM ENCARGOS COMPLEMENTARES</v>
      </c>
      <c r="E15" s="1" t="str">
        <f>'Planilha de Composição'!E27</f>
        <v>mês</v>
      </c>
      <c r="F15" s="351">
        <v>3</v>
      </c>
      <c r="G15" s="3">
        <f>'Planilha de Composição'!H27</f>
        <v>0</v>
      </c>
      <c r="H15" s="3">
        <f>'Planilha de Composição'!I27</f>
        <v>7285.78</v>
      </c>
      <c r="I15" s="117">
        <f>H15+G15</f>
        <v>7285.78</v>
      </c>
      <c r="J15" s="166">
        <f>ROUND(G15*$F15,2)</f>
        <v>0</v>
      </c>
      <c r="K15" s="166">
        <f>ROUND(H15*$F15,2)</f>
        <v>21857.34</v>
      </c>
      <c r="L15" s="167">
        <f>K15+J15</f>
        <v>21857.34</v>
      </c>
      <c r="M15" s="169">
        <f t="shared" si="0"/>
        <v>0.2111176002216073</v>
      </c>
      <c r="N15" s="167">
        <f>ROUND(G15*(1+$M15),2)</f>
        <v>0</v>
      </c>
      <c r="O15" s="169">
        <f t="shared" si="1"/>
        <v>0.26838623884514634</v>
      </c>
      <c r="P15" s="167">
        <f>ROUND(H15*(1+$O15),2)</f>
        <v>9241.18</v>
      </c>
      <c r="Q15" s="168">
        <f>P15+N15</f>
        <v>9241.18</v>
      </c>
      <c r="R15" s="168">
        <f>ROUND(N15*$F15,2)</f>
        <v>0</v>
      </c>
      <c r="S15" s="168">
        <f>ROUND(P15*$F15,2)</f>
        <v>27723.54</v>
      </c>
      <c r="T15" s="168">
        <f>S15+R15</f>
        <v>27723.54</v>
      </c>
    </row>
    <row r="16" spans="1:20" ht="15.75" thickBot="1" x14ac:dyDescent="0.3">
      <c r="A16" s="56">
        <f>'Planilha de Composição'!A29</f>
        <v>3</v>
      </c>
      <c r="B16" s="57"/>
      <c r="C16" s="58"/>
      <c r="D16" s="350" t="str">
        <f>'Planilha de Composição'!D29</f>
        <v>Equipamentos / Componentes Eletromecânicos</v>
      </c>
      <c r="E16" s="59"/>
      <c r="F16" s="288"/>
      <c r="G16" s="60"/>
      <c r="H16" s="60"/>
      <c r="I16" s="60"/>
      <c r="J16" s="60">
        <f>SUM(J17:J29)</f>
        <v>272508.17000000004</v>
      </c>
      <c r="K16" s="60">
        <f>SUM(K17:K29)</f>
        <v>18425.16</v>
      </c>
      <c r="L16" s="60">
        <f>SUM(L17:L29)</f>
        <v>290933.33000000007</v>
      </c>
      <c r="M16" s="75">
        <f t="shared" si="0"/>
        <v>0.2111176002216073</v>
      </c>
      <c r="N16" s="70"/>
      <c r="O16" s="75">
        <f t="shared" si="1"/>
        <v>0.26838623884514634</v>
      </c>
      <c r="P16" s="70"/>
      <c r="Q16" s="60"/>
      <c r="R16" s="60">
        <f>SUM(R17:R29)</f>
        <v>330039.33999999991</v>
      </c>
      <c r="S16" s="60">
        <f>SUM(S17:S29)</f>
        <v>23370.25</v>
      </c>
      <c r="T16" s="60">
        <f>SUM(T17:T29)</f>
        <v>353409.58999999991</v>
      </c>
    </row>
    <row r="17" spans="1:20" ht="15.75" thickBot="1" x14ac:dyDescent="0.3">
      <c r="A17" s="1" t="str">
        <f>'Planilha de Composição'!A30</f>
        <v>3.1</v>
      </c>
      <c r="B17" s="1" t="str">
        <f>'Planilha de Composição'!B30</f>
        <v>C.P</v>
      </c>
      <c r="C17" s="1">
        <f>'Planilha de Composição'!C30</f>
        <v>0</v>
      </c>
      <c r="D17" s="348" t="str">
        <f>'Planilha de Composição'!D30</f>
        <v>FORNECIMENTO E INSTALAÇÃO DE UNIDADE CONDENSADORA VRV, CAPACIDADE DE 10HP,  Modelo RHXYQ10ATL - Fabricante Daikin ou equivalente</v>
      </c>
      <c r="E17" s="1" t="str">
        <f>'Planilha de Composição'!E30</f>
        <v>un</v>
      </c>
      <c r="F17" s="351">
        <v>1</v>
      </c>
      <c r="G17" s="3">
        <f>'Planilha de Composição'!H30</f>
        <v>47868.65</v>
      </c>
      <c r="H17" s="3">
        <f>'Planilha de Composição'!I30</f>
        <v>797.28</v>
      </c>
      <c r="I17" s="117">
        <f t="shared" ref="I17:I29" si="3">H17+G17</f>
        <v>48665.93</v>
      </c>
      <c r="J17" s="166">
        <f t="shared" ref="J17:J29" si="4">ROUND(G17*$F17,2)</f>
        <v>47868.65</v>
      </c>
      <c r="K17" s="166">
        <f t="shared" ref="K17:K29" si="5">ROUND(H17*$F17,2)</f>
        <v>797.28</v>
      </c>
      <c r="L17" s="167">
        <f t="shared" ref="L17:L29" si="6">K17+J17</f>
        <v>48665.93</v>
      </c>
      <c r="M17" s="169">
        <f t="shared" ref="M17:M51" si="7">$L$2</f>
        <v>0.2111176002216073</v>
      </c>
      <c r="N17" s="167">
        <f t="shared" ref="N17:N29" si="8">ROUND(G17*(1+$M17),2)</f>
        <v>57974.559999999998</v>
      </c>
      <c r="O17" s="169">
        <f t="shared" ref="O17:O29" si="9">$K$2</f>
        <v>0.26838623884514634</v>
      </c>
      <c r="P17" s="167">
        <f t="shared" ref="P17:P29" si="10">ROUND(H17*(1+$O17),2)</f>
        <v>1011.26</v>
      </c>
      <c r="Q17" s="168">
        <f t="shared" ref="Q17:Q26" si="11">P17+N17</f>
        <v>58985.82</v>
      </c>
      <c r="R17" s="168">
        <f t="shared" ref="R17:R29" si="12">ROUND(N17*$F17,2)</f>
        <v>57974.559999999998</v>
      </c>
      <c r="S17" s="168">
        <f t="shared" ref="S17:S29" si="13">ROUND(P17*$F17,2)</f>
        <v>1011.26</v>
      </c>
      <c r="T17" s="168">
        <f t="shared" ref="T17:T29" si="14">S17+R17</f>
        <v>58985.82</v>
      </c>
    </row>
    <row r="18" spans="1:20" ht="15.75" thickBot="1" x14ac:dyDescent="0.3">
      <c r="A18" s="1" t="str">
        <f>'Planilha de Composição'!A35</f>
        <v>3.2</v>
      </c>
      <c r="B18" s="1" t="str">
        <f>'Planilha de Composição'!B35</f>
        <v>C.P</v>
      </c>
      <c r="C18" s="1">
        <f>'Planilha de Composição'!C35</f>
        <v>0</v>
      </c>
      <c r="D18" s="348" t="str">
        <f>'Planilha de Composição'!D35</f>
        <v>FORNECIMENTO E INSTALAÇÃO DE UNIDADE CONDENSADORA VRV, CAPACIDADE DE 12HP,  Modelo RHXYQ12ATL - Fabricante Daikin ou equivalente</v>
      </c>
      <c r="E18" s="1" t="str">
        <f>'Planilha de Composição'!E35</f>
        <v>un</v>
      </c>
      <c r="F18" s="351">
        <v>1</v>
      </c>
      <c r="G18" s="3">
        <f>'Planilha de Composição'!H35</f>
        <v>51846.18</v>
      </c>
      <c r="H18" s="3">
        <f>'Planilha de Composição'!I35</f>
        <v>797.28</v>
      </c>
      <c r="I18" s="117">
        <f t="shared" si="3"/>
        <v>52643.46</v>
      </c>
      <c r="J18" s="166">
        <f t="shared" si="4"/>
        <v>51846.18</v>
      </c>
      <c r="K18" s="166">
        <f t="shared" si="5"/>
        <v>797.28</v>
      </c>
      <c r="L18" s="167">
        <f t="shared" si="6"/>
        <v>52643.46</v>
      </c>
      <c r="M18" s="169">
        <f t="shared" si="7"/>
        <v>0.2111176002216073</v>
      </c>
      <c r="N18" s="167">
        <f t="shared" si="8"/>
        <v>62791.82</v>
      </c>
      <c r="O18" s="169">
        <f t="shared" si="9"/>
        <v>0.26838623884514634</v>
      </c>
      <c r="P18" s="167">
        <f t="shared" si="10"/>
        <v>1011.26</v>
      </c>
      <c r="Q18" s="168">
        <f t="shared" si="11"/>
        <v>63803.08</v>
      </c>
      <c r="R18" s="168">
        <f t="shared" si="12"/>
        <v>62791.82</v>
      </c>
      <c r="S18" s="168">
        <f t="shared" si="13"/>
        <v>1011.26</v>
      </c>
      <c r="T18" s="168">
        <f t="shared" si="14"/>
        <v>63803.08</v>
      </c>
    </row>
    <row r="19" spans="1:20" ht="15.75" thickBot="1" x14ac:dyDescent="0.3">
      <c r="A19" s="1" t="str">
        <f>'Planilha de Composição'!A40</f>
        <v>3.3</v>
      </c>
      <c r="B19" s="1" t="str">
        <f>'Planilha de Composição'!B40</f>
        <v>C.P</v>
      </c>
      <c r="C19" s="1">
        <f>'Planilha de Composição'!C40</f>
        <v>0</v>
      </c>
      <c r="D19" s="348" t="str">
        <f>'Planilha de Composição'!D40</f>
        <v>FORNECIMENTO E INSTALAÇÃO DE UNIDADE CONDENSADORA VRV, CAPACIDADE DE 16HP,  Modelo RHXYQ16ATL - Fabricante Daikin ou equivalente</v>
      </c>
      <c r="E19" s="1" t="str">
        <f>'Planilha de Composição'!E40</f>
        <v>un</v>
      </c>
      <c r="F19" s="351">
        <v>1</v>
      </c>
      <c r="G19" s="3">
        <f>'Planilha de Composição'!H40</f>
        <v>62719.16</v>
      </c>
      <c r="H19" s="3">
        <f>'Planilha de Composição'!I40</f>
        <v>797.28</v>
      </c>
      <c r="I19" s="117">
        <f t="shared" si="3"/>
        <v>63516.44</v>
      </c>
      <c r="J19" s="166">
        <f t="shared" si="4"/>
        <v>62719.16</v>
      </c>
      <c r="K19" s="166">
        <f t="shared" si="5"/>
        <v>797.28</v>
      </c>
      <c r="L19" s="167">
        <f t="shared" si="6"/>
        <v>63516.44</v>
      </c>
      <c r="M19" s="169">
        <f t="shared" si="7"/>
        <v>0.2111176002216073</v>
      </c>
      <c r="N19" s="167">
        <f t="shared" si="8"/>
        <v>75960.28</v>
      </c>
      <c r="O19" s="169">
        <f t="shared" si="9"/>
        <v>0.26838623884514634</v>
      </c>
      <c r="P19" s="167">
        <f t="shared" si="10"/>
        <v>1011.26</v>
      </c>
      <c r="Q19" s="168">
        <f t="shared" si="11"/>
        <v>76971.539999999994</v>
      </c>
      <c r="R19" s="168">
        <f t="shared" si="12"/>
        <v>75960.28</v>
      </c>
      <c r="S19" s="168">
        <f t="shared" si="13"/>
        <v>1011.26</v>
      </c>
      <c r="T19" s="168">
        <f t="shared" si="14"/>
        <v>76971.539999999994</v>
      </c>
    </row>
    <row r="20" spans="1:20" ht="15.75" thickBot="1" x14ac:dyDescent="0.3">
      <c r="A20" s="1" t="str">
        <f>'Planilha de Composição'!A45</f>
        <v>3.4</v>
      </c>
      <c r="B20" s="1" t="str">
        <f>'Planilha de Composição'!B45</f>
        <v>C.P</v>
      </c>
      <c r="C20" s="1">
        <f>'Planilha de Composição'!C45</f>
        <v>0</v>
      </c>
      <c r="D20" s="348" t="str">
        <f>'Planilha de Composição'!D45</f>
        <v>FORNECIMENTO E INSTALAÇÃO DE UNIDADE EVAPORADORA VRV - Hi-Wall - 6.100 kcal/h - Modelo FXAQ63AVM, fabricação Daikin ou equivalente</v>
      </c>
      <c r="E20" s="1" t="str">
        <f>'Planilha de Composição'!E45</f>
        <v>un</v>
      </c>
      <c r="F20" s="351">
        <v>15</v>
      </c>
      <c r="G20" s="3">
        <f>'Planilha de Composição'!H45</f>
        <v>4125</v>
      </c>
      <c r="H20" s="3">
        <f>'Planilha de Composição'!I45</f>
        <v>697.62</v>
      </c>
      <c r="I20" s="117">
        <f t="shared" si="3"/>
        <v>4822.62</v>
      </c>
      <c r="J20" s="166">
        <f t="shared" si="4"/>
        <v>61875</v>
      </c>
      <c r="K20" s="166">
        <f t="shared" si="5"/>
        <v>10464.299999999999</v>
      </c>
      <c r="L20" s="167">
        <f t="shared" si="6"/>
        <v>72339.3</v>
      </c>
      <c r="M20" s="169">
        <f t="shared" si="7"/>
        <v>0.2111176002216073</v>
      </c>
      <c r="N20" s="167">
        <f t="shared" si="8"/>
        <v>4995.8599999999997</v>
      </c>
      <c r="O20" s="169">
        <f t="shared" si="9"/>
        <v>0.26838623884514634</v>
      </c>
      <c r="P20" s="167">
        <f t="shared" si="10"/>
        <v>884.85</v>
      </c>
      <c r="Q20" s="168">
        <f t="shared" si="11"/>
        <v>5880.71</v>
      </c>
      <c r="R20" s="168">
        <f t="shared" si="12"/>
        <v>74937.899999999994</v>
      </c>
      <c r="S20" s="168">
        <f t="shared" si="13"/>
        <v>13272.75</v>
      </c>
      <c r="T20" s="168">
        <f t="shared" si="14"/>
        <v>88210.65</v>
      </c>
    </row>
    <row r="21" spans="1:20" ht="15.75" thickBot="1" x14ac:dyDescent="0.3">
      <c r="A21" s="1" t="str">
        <f>'Planilha de Composição'!A50</f>
        <v>3.5</v>
      </c>
      <c r="B21" s="1" t="str">
        <f>'Planilha de Composição'!B50</f>
        <v>C.P</v>
      </c>
      <c r="C21" s="1">
        <f>'Planilha de Composição'!C50</f>
        <v>0</v>
      </c>
      <c r="D21" s="348" t="str">
        <f>'Planilha de Composição'!D50</f>
        <v>FORNECIMENTO E INSTALAÇÃO DE KIT REFNET de derivação Modelo KHRP26A22T, fabricação Daikin ou equivalente</v>
      </c>
      <c r="E21" s="1" t="str">
        <f>'Planilha de Composição'!E50</f>
        <v>un</v>
      </c>
      <c r="F21" s="351">
        <v>2</v>
      </c>
      <c r="G21" s="3">
        <f>'Planilha de Composição'!H50</f>
        <v>455.59</v>
      </c>
      <c r="H21" s="3">
        <f>'Planilha de Composição'!I50</f>
        <v>76.78</v>
      </c>
      <c r="I21" s="117">
        <f t="shared" si="3"/>
        <v>532.37</v>
      </c>
      <c r="J21" s="166">
        <f t="shared" si="4"/>
        <v>911.18</v>
      </c>
      <c r="K21" s="166">
        <f t="shared" si="5"/>
        <v>153.56</v>
      </c>
      <c r="L21" s="167">
        <f t="shared" si="6"/>
        <v>1064.74</v>
      </c>
      <c r="M21" s="169">
        <f t="shared" si="7"/>
        <v>0.2111176002216073</v>
      </c>
      <c r="N21" s="167">
        <f t="shared" si="8"/>
        <v>551.77</v>
      </c>
      <c r="O21" s="169">
        <f t="shared" si="9"/>
        <v>0.26838623884514634</v>
      </c>
      <c r="P21" s="167">
        <f t="shared" si="10"/>
        <v>97.39</v>
      </c>
      <c r="Q21" s="168">
        <f t="shared" si="11"/>
        <v>649.16</v>
      </c>
      <c r="R21" s="168">
        <f t="shared" si="12"/>
        <v>1103.54</v>
      </c>
      <c r="S21" s="168">
        <f t="shared" si="13"/>
        <v>194.78</v>
      </c>
      <c r="T21" s="168">
        <f t="shared" si="14"/>
        <v>1298.32</v>
      </c>
    </row>
    <row r="22" spans="1:20" ht="15.75" thickBot="1" x14ac:dyDescent="0.3">
      <c r="A22" s="1" t="str">
        <f>'Planilha de Composição'!A54</f>
        <v>3.6</v>
      </c>
      <c r="B22" s="1" t="str">
        <f>'Planilha de Composição'!B54</f>
        <v>C.P</v>
      </c>
      <c r="C22" s="1">
        <f>'Planilha de Composição'!C54</f>
        <v>0</v>
      </c>
      <c r="D22" s="348" t="str">
        <f>'Planilha de Composição'!D54</f>
        <v>FORNECIMENTO E INSTALAÇÃO DE KIT REFNET de derivação Modelo KHRP26A33T, fabaricação Daikin ou equivalente</v>
      </c>
      <c r="E22" s="1" t="str">
        <f>'Planilha de Composição'!E54</f>
        <v>un</v>
      </c>
      <c r="F22" s="351">
        <v>1</v>
      </c>
      <c r="G22" s="3">
        <f>'Planilha de Composição'!H54</f>
        <v>473.13</v>
      </c>
      <c r="H22" s="3">
        <f>'Planilha de Composição'!I54</f>
        <v>76.78</v>
      </c>
      <c r="I22" s="117">
        <f t="shared" si="3"/>
        <v>549.91</v>
      </c>
      <c r="J22" s="166">
        <f t="shared" si="4"/>
        <v>473.13</v>
      </c>
      <c r="K22" s="166">
        <f t="shared" si="5"/>
        <v>76.78</v>
      </c>
      <c r="L22" s="167">
        <f t="shared" si="6"/>
        <v>549.91</v>
      </c>
      <c r="M22" s="169">
        <f t="shared" si="7"/>
        <v>0.2111176002216073</v>
      </c>
      <c r="N22" s="167">
        <f t="shared" si="8"/>
        <v>573.02</v>
      </c>
      <c r="O22" s="169">
        <f t="shared" si="9"/>
        <v>0.26838623884514634</v>
      </c>
      <c r="P22" s="167">
        <f t="shared" si="10"/>
        <v>97.39</v>
      </c>
      <c r="Q22" s="168">
        <f t="shared" si="11"/>
        <v>670.41</v>
      </c>
      <c r="R22" s="168">
        <f t="shared" si="12"/>
        <v>573.02</v>
      </c>
      <c r="S22" s="168">
        <f t="shared" si="13"/>
        <v>97.39</v>
      </c>
      <c r="T22" s="168">
        <f t="shared" si="14"/>
        <v>670.41</v>
      </c>
    </row>
    <row r="23" spans="1:20" ht="15.75" thickBot="1" x14ac:dyDescent="0.3">
      <c r="A23" s="1" t="str">
        <f>'Planilha de Composição'!A58</f>
        <v>3.7</v>
      </c>
      <c r="B23" s="1" t="str">
        <f>'Planilha de Composição'!B58</f>
        <v>C.P</v>
      </c>
      <c r="C23" s="1">
        <f>'Planilha de Composição'!C58</f>
        <v>0</v>
      </c>
      <c r="D23" s="348" t="str">
        <f>'Planilha de Composição'!D58</f>
        <v>FORNECIMENTO E INSTALAÇÃO DE KIT REFNET de derivação Modelo KHRP26A72T, fabricação Daikin ou equivalente</v>
      </c>
      <c r="E23" s="1" t="str">
        <f>'Planilha de Composição'!E58</f>
        <v>un</v>
      </c>
      <c r="F23" s="351">
        <v>6</v>
      </c>
      <c r="G23" s="3">
        <f>'Planilha de Composição'!H58</f>
        <v>735.95</v>
      </c>
      <c r="H23" s="3">
        <f>'Planilha de Composição'!I58</f>
        <v>76.78</v>
      </c>
      <c r="I23" s="117">
        <f t="shared" si="3"/>
        <v>812.73</v>
      </c>
      <c r="J23" s="166">
        <f t="shared" si="4"/>
        <v>4415.7</v>
      </c>
      <c r="K23" s="166">
        <f t="shared" si="5"/>
        <v>460.68</v>
      </c>
      <c r="L23" s="167">
        <f t="shared" si="6"/>
        <v>4876.38</v>
      </c>
      <c r="M23" s="169">
        <f t="shared" si="7"/>
        <v>0.2111176002216073</v>
      </c>
      <c r="N23" s="167">
        <f t="shared" si="8"/>
        <v>891.32</v>
      </c>
      <c r="O23" s="169">
        <f t="shared" si="9"/>
        <v>0.26838623884514634</v>
      </c>
      <c r="P23" s="167">
        <f t="shared" si="10"/>
        <v>97.39</v>
      </c>
      <c r="Q23" s="168">
        <f t="shared" si="11"/>
        <v>988.71</v>
      </c>
      <c r="R23" s="168">
        <f t="shared" si="12"/>
        <v>5347.92</v>
      </c>
      <c r="S23" s="168">
        <f t="shared" si="13"/>
        <v>584.34</v>
      </c>
      <c r="T23" s="168">
        <f t="shared" si="14"/>
        <v>5932.26</v>
      </c>
    </row>
    <row r="24" spans="1:20" ht="15.75" thickBot="1" x14ac:dyDescent="0.3">
      <c r="A24" s="1" t="str">
        <f>'Planilha de Composição'!A62</f>
        <v>3.8</v>
      </c>
      <c r="B24" s="1" t="str">
        <f>'Planilha de Composição'!B62</f>
        <v>C.P</v>
      </c>
      <c r="C24" s="1">
        <f>'Planilha de Composição'!C62</f>
        <v>0</v>
      </c>
      <c r="D24" s="348" t="str">
        <f>'Planilha de Composição'!D62</f>
        <v>FORNECIMENTO E INSTALAÇÃO DE KIT REFNET de derivação Modelo KHRP26A73T, fabricação Daikin ou equivalente</v>
      </c>
      <c r="E24" s="1" t="str">
        <f>'Planilha de Composição'!E62</f>
        <v>un</v>
      </c>
      <c r="F24" s="351">
        <v>5</v>
      </c>
      <c r="G24" s="3">
        <f>'Planilha de Composição'!H62</f>
        <v>1314.22</v>
      </c>
      <c r="H24" s="3">
        <f>'Planilha de Composição'!I62</f>
        <v>76.78</v>
      </c>
      <c r="I24" s="117">
        <f t="shared" si="3"/>
        <v>1391</v>
      </c>
      <c r="J24" s="166">
        <f t="shared" si="4"/>
        <v>6571.1</v>
      </c>
      <c r="K24" s="166">
        <f t="shared" si="5"/>
        <v>383.9</v>
      </c>
      <c r="L24" s="167">
        <f t="shared" si="6"/>
        <v>6955</v>
      </c>
      <c r="M24" s="169">
        <f t="shared" si="7"/>
        <v>0.2111176002216073</v>
      </c>
      <c r="N24" s="167">
        <f t="shared" si="8"/>
        <v>1591.67</v>
      </c>
      <c r="O24" s="169">
        <f t="shared" si="9"/>
        <v>0.26838623884514634</v>
      </c>
      <c r="P24" s="167">
        <f t="shared" si="10"/>
        <v>97.39</v>
      </c>
      <c r="Q24" s="168">
        <f t="shared" si="11"/>
        <v>1689.0600000000002</v>
      </c>
      <c r="R24" s="168">
        <f t="shared" si="12"/>
        <v>7958.35</v>
      </c>
      <c r="S24" s="168">
        <f t="shared" si="13"/>
        <v>486.95</v>
      </c>
      <c r="T24" s="168">
        <f t="shared" si="14"/>
        <v>8445.3000000000011</v>
      </c>
    </row>
    <row r="25" spans="1:20" ht="15.75" thickBot="1" x14ac:dyDescent="0.3">
      <c r="A25" s="1" t="str">
        <f>'Planilha de Composição'!A66</f>
        <v>3.9</v>
      </c>
      <c r="B25" s="1" t="str">
        <f>'Planilha de Composição'!B66</f>
        <v>C.P</v>
      </c>
      <c r="C25" s="1">
        <f>'Planilha de Composição'!C66</f>
        <v>0</v>
      </c>
      <c r="D25" s="348" t="str">
        <f>'Planilha de Composição'!D66</f>
        <v>FORNECIMENTO E INSTALAÇÃO DE KIT REFNET de redução Modelo KHRP26M73TP9,  fabricação Daikin ou equivalente</v>
      </c>
      <c r="E25" s="1" t="str">
        <f>'Planilha de Composição'!E66</f>
        <v>un</v>
      </c>
      <c r="F25" s="351">
        <v>5</v>
      </c>
      <c r="G25" s="3">
        <f>'Planilha de Composição'!H66</f>
        <v>490.64</v>
      </c>
      <c r="H25" s="3">
        <f>'Planilha de Composição'!I66</f>
        <v>76.78</v>
      </c>
      <c r="I25" s="117">
        <f t="shared" si="3"/>
        <v>567.41999999999996</v>
      </c>
      <c r="J25" s="166">
        <f t="shared" si="4"/>
        <v>2453.1999999999998</v>
      </c>
      <c r="K25" s="166">
        <f t="shared" si="5"/>
        <v>383.9</v>
      </c>
      <c r="L25" s="167">
        <f t="shared" si="6"/>
        <v>2837.1</v>
      </c>
      <c r="M25" s="169">
        <f t="shared" si="7"/>
        <v>0.2111176002216073</v>
      </c>
      <c r="N25" s="167">
        <f t="shared" si="8"/>
        <v>594.22</v>
      </c>
      <c r="O25" s="169">
        <f t="shared" si="9"/>
        <v>0.26838623884514634</v>
      </c>
      <c r="P25" s="167">
        <f t="shared" si="10"/>
        <v>97.39</v>
      </c>
      <c r="Q25" s="168">
        <f t="shared" si="11"/>
        <v>691.61</v>
      </c>
      <c r="R25" s="168">
        <f t="shared" si="12"/>
        <v>2971.1</v>
      </c>
      <c r="S25" s="168">
        <f t="shared" si="13"/>
        <v>486.95</v>
      </c>
      <c r="T25" s="168">
        <f t="shared" si="14"/>
        <v>3458.0499999999997</v>
      </c>
    </row>
    <row r="26" spans="1:20" ht="15.75" thickBot="1" x14ac:dyDescent="0.3">
      <c r="A26" s="1" t="str">
        <f>'Planilha de Composição'!A70</f>
        <v>3.10</v>
      </c>
      <c r="B26" s="1" t="str">
        <f>'Planilha de Composição'!B70</f>
        <v>C.P</v>
      </c>
      <c r="C26" s="1">
        <f>'Planilha de Composição'!C70</f>
        <v>0</v>
      </c>
      <c r="D26" s="348" t="str">
        <f>'Planilha de Composição'!D70</f>
        <v>FORNECIMENTO E INSTALAÇÃO DE KIT DE CONEXÃO DE TUBULAÇÃO Modelo  BHFP22P151, fabricação Daikin ou equivalente</v>
      </c>
      <c r="E26" s="1" t="str">
        <f>'Planilha de Composição'!E70</f>
        <v>un</v>
      </c>
      <c r="F26" s="351">
        <v>1</v>
      </c>
      <c r="G26" s="3">
        <f>'Planilha de Composição'!H70</f>
        <v>1769.87</v>
      </c>
      <c r="H26" s="3">
        <f>'Planilha de Composição'!I70</f>
        <v>91.89</v>
      </c>
      <c r="I26" s="117">
        <f t="shared" si="3"/>
        <v>1861.76</v>
      </c>
      <c r="J26" s="166">
        <f t="shared" si="4"/>
        <v>1769.87</v>
      </c>
      <c r="K26" s="166">
        <f t="shared" si="5"/>
        <v>91.89</v>
      </c>
      <c r="L26" s="167">
        <f t="shared" si="6"/>
        <v>1861.76</v>
      </c>
      <c r="M26" s="169">
        <f t="shared" si="7"/>
        <v>0.2111176002216073</v>
      </c>
      <c r="N26" s="167">
        <f t="shared" si="8"/>
        <v>2143.52</v>
      </c>
      <c r="O26" s="169">
        <f t="shared" si="9"/>
        <v>0.26838623884514634</v>
      </c>
      <c r="P26" s="167">
        <f t="shared" si="10"/>
        <v>116.55</v>
      </c>
      <c r="Q26" s="168">
        <f t="shared" si="11"/>
        <v>2260.0700000000002</v>
      </c>
      <c r="R26" s="168">
        <f t="shared" si="12"/>
        <v>2143.52</v>
      </c>
      <c r="S26" s="168">
        <f t="shared" si="13"/>
        <v>116.55</v>
      </c>
      <c r="T26" s="168">
        <f t="shared" si="14"/>
        <v>2260.0700000000002</v>
      </c>
    </row>
    <row r="27" spans="1:20" ht="15.75" thickBot="1" x14ac:dyDescent="0.3">
      <c r="A27" s="1" t="str">
        <f>'Planilha de Composição'!A74</f>
        <v>3.11</v>
      </c>
      <c r="B27" s="1" t="str">
        <f>'Planilha de Composição'!B74</f>
        <v>C.P</v>
      </c>
      <c r="C27" s="1">
        <f>'Planilha de Composição'!C74</f>
        <v>0</v>
      </c>
      <c r="D27" s="348" t="str">
        <f>'Planilha de Composição'!D74</f>
        <v>FORNECIMENTO E INSTALAÇÃO DE Kit de Controle Centralizado, Mod. Reiri for Office, Combinação DCPF06BR+DCPA01, fabricação Daikin ou equivalente</v>
      </c>
      <c r="E27" s="1" t="str">
        <f>'Planilha de Composição'!E74</f>
        <v>un</v>
      </c>
      <c r="F27" s="351">
        <v>1</v>
      </c>
      <c r="G27" s="3">
        <f>'Planilha de Composição'!H74</f>
        <v>18900</v>
      </c>
      <c r="H27" s="3">
        <f>'Planilha de Composição'!I74</f>
        <v>2489.4</v>
      </c>
      <c r="I27" s="117">
        <f t="shared" si="3"/>
        <v>21389.4</v>
      </c>
      <c r="J27" s="166">
        <f t="shared" si="4"/>
        <v>18900</v>
      </c>
      <c r="K27" s="166">
        <f t="shared" si="5"/>
        <v>2489.4</v>
      </c>
      <c r="L27" s="167">
        <f t="shared" si="6"/>
        <v>21389.4</v>
      </c>
      <c r="M27" s="169">
        <f t="shared" si="7"/>
        <v>0.2111176002216073</v>
      </c>
      <c r="N27" s="167">
        <f t="shared" si="8"/>
        <v>22890.12</v>
      </c>
      <c r="O27" s="169">
        <f t="shared" si="9"/>
        <v>0.26838623884514634</v>
      </c>
      <c r="P27" s="167">
        <f t="shared" si="10"/>
        <v>3157.52</v>
      </c>
      <c r="Q27" s="168">
        <f>P27+N27</f>
        <v>26047.64</v>
      </c>
      <c r="R27" s="168">
        <f t="shared" si="12"/>
        <v>22890.12</v>
      </c>
      <c r="S27" s="168">
        <f t="shared" si="13"/>
        <v>3157.52</v>
      </c>
      <c r="T27" s="168">
        <f t="shared" si="14"/>
        <v>26047.64</v>
      </c>
    </row>
    <row r="28" spans="1:20" ht="15.75" thickBot="1" x14ac:dyDescent="0.3">
      <c r="A28" s="1" t="str">
        <f>'Planilha de Composição'!A77</f>
        <v>3.12</v>
      </c>
      <c r="B28" s="1" t="str">
        <f>'Planilha de Composição'!B77</f>
        <v>C.P</v>
      </c>
      <c r="C28" s="1">
        <f>'Planilha de Composição'!C77</f>
        <v>0</v>
      </c>
      <c r="D28" s="348" t="str">
        <f>'Planilha de Composição'!D77</f>
        <v>FORNECIMENTO E INSTALAÇÃO de Controlador Remoto com Fio, Mod. BRC2E61,  fabricação Daikin ou equivalente</v>
      </c>
      <c r="E28" s="1" t="str">
        <f>'Planilha de Composição'!E77</f>
        <v>un</v>
      </c>
      <c r="F28" s="351">
        <v>15</v>
      </c>
      <c r="G28" s="3">
        <f>'Planilha de Composição'!H77</f>
        <v>575</v>
      </c>
      <c r="H28" s="3">
        <f>'Planilha de Composição'!I77</f>
        <v>82.98</v>
      </c>
      <c r="I28" s="117">
        <f t="shared" si="3"/>
        <v>657.98</v>
      </c>
      <c r="J28" s="166">
        <f t="shared" si="4"/>
        <v>8625</v>
      </c>
      <c r="K28" s="166">
        <f t="shared" si="5"/>
        <v>1244.7</v>
      </c>
      <c r="L28" s="167">
        <f t="shared" si="6"/>
        <v>9869.7000000000007</v>
      </c>
      <c r="M28" s="169">
        <f t="shared" si="7"/>
        <v>0.2111176002216073</v>
      </c>
      <c r="N28" s="167">
        <f t="shared" si="8"/>
        <v>696.39</v>
      </c>
      <c r="O28" s="169">
        <f t="shared" si="9"/>
        <v>0.26838623884514634</v>
      </c>
      <c r="P28" s="167">
        <f t="shared" si="10"/>
        <v>105.25</v>
      </c>
      <c r="Q28" s="168">
        <f>P28+N28</f>
        <v>801.64</v>
      </c>
      <c r="R28" s="168">
        <f t="shared" si="12"/>
        <v>10445.85</v>
      </c>
      <c r="S28" s="168">
        <f t="shared" si="13"/>
        <v>1578.75</v>
      </c>
      <c r="T28" s="168">
        <f t="shared" si="14"/>
        <v>12024.6</v>
      </c>
    </row>
    <row r="29" spans="1:20" ht="15.75" thickBot="1" x14ac:dyDescent="0.3">
      <c r="A29" s="1" t="str">
        <f>'Planilha de Composição'!A80</f>
        <v>3.13</v>
      </c>
      <c r="B29" s="1" t="str">
        <f>'Planilha de Composição'!B80</f>
        <v>C.P</v>
      </c>
      <c r="C29" s="1">
        <f>'Planilha de Composição'!C80</f>
        <v>0</v>
      </c>
      <c r="D29" s="348" t="str">
        <f>'Planilha de Composição'!D80</f>
        <v>FORNECIMENTO E INSTALAÇÃO DE CAIXA DE VENTILAÇÃO, Q=1.475,00m³/h, h=38mmCA, Mod. FH315, Filtragem G4+F8, 220V, 1F, 60Hz, c/ Potenciômetro, fabricação Sicflux ou equivalente</v>
      </c>
      <c r="E29" s="1" t="str">
        <f>'Planilha de Composição'!E80</f>
        <v>un</v>
      </c>
      <c r="F29" s="351">
        <v>1</v>
      </c>
      <c r="G29" s="3">
        <f>'Planilha de Composição'!H80</f>
        <v>4080</v>
      </c>
      <c r="H29" s="3">
        <f>'Planilha de Composição'!I80</f>
        <v>284.21000000000004</v>
      </c>
      <c r="I29" s="117">
        <f t="shared" si="3"/>
        <v>4364.21</v>
      </c>
      <c r="J29" s="166">
        <f t="shared" si="4"/>
        <v>4080</v>
      </c>
      <c r="K29" s="166">
        <f t="shared" si="5"/>
        <v>284.20999999999998</v>
      </c>
      <c r="L29" s="167">
        <f t="shared" si="6"/>
        <v>4364.21</v>
      </c>
      <c r="M29" s="169">
        <f t="shared" si="7"/>
        <v>0.2111176002216073</v>
      </c>
      <c r="N29" s="167">
        <f t="shared" si="8"/>
        <v>4941.3599999999997</v>
      </c>
      <c r="O29" s="169">
        <f t="shared" si="9"/>
        <v>0.26838623884514634</v>
      </c>
      <c r="P29" s="167">
        <f t="shared" si="10"/>
        <v>360.49</v>
      </c>
      <c r="Q29" s="168">
        <f>P29+N29</f>
        <v>5301.8499999999995</v>
      </c>
      <c r="R29" s="168">
        <f t="shared" si="12"/>
        <v>4941.3599999999997</v>
      </c>
      <c r="S29" s="168">
        <f t="shared" si="13"/>
        <v>360.49</v>
      </c>
      <c r="T29" s="168">
        <f t="shared" si="14"/>
        <v>5301.8499999999995</v>
      </c>
    </row>
    <row r="30" spans="1:20" ht="15.75" thickBot="1" x14ac:dyDescent="0.3">
      <c r="A30" s="55">
        <f>'Planilha de Composição'!A84</f>
        <v>4</v>
      </c>
      <c r="B30" s="50"/>
      <c r="C30" s="51"/>
      <c r="D30" s="349" t="str">
        <f>'Planilha de Composição'!D84</f>
        <v>Rede Frigorífica e Acessórios - Sistema VRV</v>
      </c>
      <c r="E30" s="61"/>
      <c r="F30" s="61"/>
      <c r="G30" s="62"/>
      <c r="H30" s="62"/>
      <c r="I30" s="62"/>
      <c r="J30" s="62">
        <f>SUM(J31:J43)</f>
        <v>36736.28</v>
      </c>
      <c r="K30" s="62">
        <f>SUM(K31:K43)</f>
        <v>20769.120000000003</v>
      </c>
      <c r="L30" s="62">
        <f>SUM(L31:L43)</f>
        <v>57505.399999999994</v>
      </c>
      <c r="M30" s="75">
        <f>$L$2</f>
        <v>0.2111176002216073</v>
      </c>
      <c r="N30" s="70"/>
      <c r="O30" s="75">
        <f>$K$2</f>
        <v>0.26838623884514634</v>
      </c>
      <c r="P30" s="70"/>
      <c r="Q30" s="62"/>
      <c r="R30" s="62">
        <f>SUM(R31:R43)</f>
        <v>44491.529999999992</v>
      </c>
      <c r="S30" s="62">
        <f>SUM(S31:S43)</f>
        <v>26343.54</v>
      </c>
      <c r="T30" s="62">
        <f>SUM(T31:T43)</f>
        <v>70835.069999999992</v>
      </c>
    </row>
    <row r="31" spans="1:20" ht="15.75" thickBot="1" x14ac:dyDescent="0.3">
      <c r="A31" s="1" t="str">
        <f>'Planilha de Composição'!A85</f>
        <v>4.1</v>
      </c>
      <c r="B31" s="1" t="str">
        <f>'Planilha de Composição'!B85</f>
        <v>C.P</v>
      </c>
      <c r="C31" s="1">
        <f>'Planilha de Composição'!C85</f>
        <v>0</v>
      </c>
      <c r="D31" s="348" t="str">
        <f>'Planilha de Composição'!D85</f>
        <v>FORNECIMENTO E INSTALAÇÃO DE TUBULAÇÃO DE COBRE RÍGIDO, INCLUSO CONEXÕES, Diâmetro 3/8", #1/16", COM ISOLAMENTO EM BORRACHA ELASTOMÉRICA</v>
      </c>
      <c r="E31" s="1" t="str">
        <f>'Planilha de Composição'!E85</f>
        <v>m</v>
      </c>
      <c r="F31" s="351">
        <v>130</v>
      </c>
      <c r="G31" s="3">
        <f>'Planilha de Composição'!H85</f>
        <v>34.340000000000003</v>
      </c>
      <c r="H31" s="3">
        <f>'Planilha de Composição'!I85</f>
        <v>23.89</v>
      </c>
      <c r="I31" s="117">
        <f>H31+G31</f>
        <v>58.230000000000004</v>
      </c>
      <c r="J31" s="166">
        <f>ROUND(G31*$F31,2)</f>
        <v>4464.2</v>
      </c>
      <c r="K31" s="166">
        <f>ROUND(H31*$F31,2)</f>
        <v>3105.7</v>
      </c>
      <c r="L31" s="167">
        <f>K31+J31</f>
        <v>7569.9</v>
      </c>
      <c r="M31" s="169">
        <f t="shared" si="7"/>
        <v>0.2111176002216073</v>
      </c>
      <c r="N31" s="167">
        <f>ROUND(G31*(1+$M31),2)</f>
        <v>41.59</v>
      </c>
      <c r="O31" s="169">
        <f t="shared" ref="O31:O57" si="15">$K$2</f>
        <v>0.26838623884514634</v>
      </c>
      <c r="P31" s="167">
        <f>ROUND(H31*(1+$O31),2)</f>
        <v>30.3</v>
      </c>
      <c r="Q31" s="168">
        <f>P31+N31</f>
        <v>71.89</v>
      </c>
      <c r="R31" s="168">
        <f>ROUND(N31*$F31,2)</f>
        <v>5406.7</v>
      </c>
      <c r="S31" s="168">
        <f>ROUND(P31*$F31,2)</f>
        <v>3939</v>
      </c>
      <c r="T31" s="168">
        <f>S31+R31</f>
        <v>9345.7000000000007</v>
      </c>
    </row>
    <row r="32" spans="1:20" ht="15.75" thickBot="1" x14ac:dyDescent="0.3">
      <c r="A32" s="1" t="str">
        <f>'Planilha de Composição'!A91</f>
        <v>4.2</v>
      </c>
      <c r="B32" s="1" t="str">
        <f>'Planilha de Composição'!B91</f>
        <v>C.P</v>
      </c>
      <c r="C32" s="1">
        <f>'Planilha de Composição'!C91</f>
        <v>0</v>
      </c>
      <c r="D32" s="348" t="str">
        <f>'Planilha de Composição'!D91</f>
        <v>FORNECIMENTO E INSTALAÇÃO DE TUBULAÇÃO DE COBRE RÍGIDO, INCLUSO CONEXÕES, Diâmetro 1/2", #1/16", COM ISOLAMENTO EM BORRACHA ELASTOMÉRICA</v>
      </c>
      <c r="E32" s="1" t="str">
        <f>'Planilha de Composição'!E91</f>
        <v>m</v>
      </c>
      <c r="F32" s="351">
        <v>4</v>
      </c>
      <c r="G32" s="3">
        <f>'Planilha de Composição'!H91</f>
        <v>46.44</v>
      </c>
      <c r="H32" s="3">
        <f>'Planilha de Composição'!I91</f>
        <v>23.89</v>
      </c>
      <c r="I32" s="117">
        <f>H32+G32</f>
        <v>70.33</v>
      </c>
      <c r="J32" s="166">
        <f>ROUND(G32*$F32,2)</f>
        <v>185.76</v>
      </c>
      <c r="K32" s="166">
        <f>ROUND(H32*$F32,2)</f>
        <v>95.56</v>
      </c>
      <c r="L32" s="167">
        <f>K32+J32</f>
        <v>281.32</v>
      </c>
      <c r="M32" s="169">
        <f t="shared" si="7"/>
        <v>0.2111176002216073</v>
      </c>
      <c r="N32" s="167">
        <f>ROUND(G32*(1+$M32),2)</f>
        <v>56.24</v>
      </c>
      <c r="O32" s="169">
        <f t="shared" si="15"/>
        <v>0.26838623884514634</v>
      </c>
      <c r="P32" s="167">
        <f>ROUND(H32*(1+$O32),2)</f>
        <v>30.3</v>
      </c>
      <c r="Q32" s="168">
        <f>P32+N32</f>
        <v>86.54</v>
      </c>
      <c r="R32" s="168">
        <f>ROUND(N32*$F32,2)</f>
        <v>224.96</v>
      </c>
      <c r="S32" s="168">
        <f>ROUND(P32*$F32,2)</f>
        <v>121.2</v>
      </c>
      <c r="T32" s="168">
        <f>S32+R32</f>
        <v>346.16</v>
      </c>
    </row>
    <row r="33" spans="1:20" ht="15.75" thickBot="1" x14ac:dyDescent="0.3">
      <c r="A33" s="1" t="str">
        <f>'Planilha de Composição'!A97</f>
        <v>4.3</v>
      </c>
      <c r="B33" s="1" t="str">
        <f>'Planilha de Composição'!B97</f>
        <v>C.P</v>
      </c>
      <c r="C33" s="1">
        <f>'Planilha de Composição'!C97</f>
        <v>0</v>
      </c>
      <c r="D33" s="348" t="str">
        <f>'Planilha de Composição'!D97</f>
        <v>FORNECIMENTO E INSTALAÇÃO DE TUBULAÇÃO DE COBRE RÍGIDO, INCLUSO CONEXÕES, Diâmetro 5/8", #1/16", COM ISOLAMENTO EM BORRACHA ELASTOMÉRICA</v>
      </c>
      <c r="E33" s="1" t="str">
        <f>'Planilha de Composição'!E97</f>
        <v>m</v>
      </c>
      <c r="F33" s="351">
        <v>132</v>
      </c>
      <c r="G33" s="272">
        <f>'Planilha de Composição'!H97</f>
        <v>64.38</v>
      </c>
      <c r="H33" s="272">
        <f>'Planilha de Composição'!I97</f>
        <v>54.61</v>
      </c>
      <c r="I33" s="117">
        <f t="shared" ref="I33:I43" si="16">H33+G33</f>
        <v>118.99</v>
      </c>
      <c r="J33" s="166">
        <f t="shared" ref="J33:J43" si="17">ROUND(G33*$F33,2)</f>
        <v>8498.16</v>
      </c>
      <c r="K33" s="166">
        <f t="shared" ref="K33:K43" si="18">ROUND(H33*$F33,2)</f>
        <v>7208.52</v>
      </c>
      <c r="L33" s="167">
        <f t="shared" ref="L33:L43" si="19">K33+J33</f>
        <v>15706.68</v>
      </c>
      <c r="M33" s="169">
        <f t="shared" si="7"/>
        <v>0.2111176002216073</v>
      </c>
      <c r="N33" s="167">
        <f t="shared" ref="N33:N43" si="20">ROUND(G33*(1+$M33),2)</f>
        <v>77.97</v>
      </c>
      <c r="O33" s="169">
        <f t="shared" si="15"/>
        <v>0.26838623884514634</v>
      </c>
      <c r="P33" s="167">
        <f t="shared" ref="P33:P43" si="21">ROUND(H33*(1+$O33),2)</f>
        <v>69.27</v>
      </c>
      <c r="Q33" s="168">
        <f t="shared" ref="Q33:Q43" si="22">P33+N33</f>
        <v>147.24</v>
      </c>
      <c r="R33" s="168">
        <f t="shared" ref="R33:R43" si="23">ROUND(N33*$F33,2)</f>
        <v>10292.040000000001</v>
      </c>
      <c r="S33" s="168">
        <f t="shared" ref="S33:S43" si="24">ROUND(P33*$F33,2)</f>
        <v>9143.64</v>
      </c>
      <c r="T33" s="168">
        <f t="shared" ref="T33:T43" si="25">S33+R33</f>
        <v>19435.68</v>
      </c>
    </row>
    <row r="34" spans="1:20" ht="15.75" thickBot="1" x14ac:dyDescent="0.3">
      <c r="A34" s="1" t="str">
        <f>'Planilha de Composição'!A103</f>
        <v>4.4</v>
      </c>
      <c r="B34" s="1" t="str">
        <f>'Planilha de Composição'!B103</f>
        <v>C.P</v>
      </c>
      <c r="C34" s="1">
        <f>'Planilha de Composição'!C103</f>
        <v>0</v>
      </c>
      <c r="D34" s="348" t="str">
        <f>'Planilha de Composição'!D103</f>
        <v>FORNECIMENTO E INSTALAÇÃO DE TUBULAÇÃO DE COBRE RÍGIDO, INCLUSO CONEXÕES, Diâmetro 3/4", #1/16", COM ISOLAMENTO EM BORRACHA ELASTOMÉRICA</v>
      </c>
      <c r="E34" s="1" t="str">
        <f>'Planilha de Composição'!E103</f>
        <v>m</v>
      </c>
      <c r="F34" s="351">
        <v>54</v>
      </c>
      <c r="G34" s="272">
        <f>'Planilha de Composição'!H103</f>
        <v>92.91</v>
      </c>
      <c r="H34" s="272">
        <f>'Planilha de Composição'!I103</f>
        <v>54.61</v>
      </c>
      <c r="I34" s="117">
        <f t="shared" si="16"/>
        <v>147.51999999999998</v>
      </c>
      <c r="J34" s="166">
        <f t="shared" si="17"/>
        <v>5017.1400000000003</v>
      </c>
      <c r="K34" s="166">
        <f t="shared" si="18"/>
        <v>2948.94</v>
      </c>
      <c r="L34" s="167">
        <f t="shared" si="19"/>
        <v>7966.08</v>
      </c>
      <c r="M34" s="169">
        <f t="shared" si="7"/>
        <v>0.2111176002216073</v>
      </c>
      <c r="N34" s="167">
        <f t="shared" si="20"/>
        <v>112.52</v>
      </c>
      <c r="O34" s="169">
        <f t="shared" si="15"/>
        <v>0.26838623884514634</v>
      </c>
      <c r="P34" s="167">
        <f t="shared" si="21"/>
        <v>69.27</v>
      </c>
      <c r="Q34" s="168">
        <f t="shared" si="22"/>
        <v>181.79</v>
      </c>
      <c r="R34" s="168">
        <f t="shared" si="23"/>
        <v>6076.08</v>
      </c>
      <c r="S34" s="168">
        <f t="shared" si="24"/>
        <v>3740.58</v>
      </c>
      <c r="T34" s="168">
        <f t="shared" si="25"/>
        <v>9816.66</v>
      </c>
    </row>
    <row r="35" spans="1:20" ht="15.75" thickBot="1" x14ac:dyDescent="0.3">
      <c r="A35" s="1" t="str">
        <f>'Planilha de Composição'!A109</f>
        <v>4.5</v>
      </c>
      <c r="B35" s="1" t="str">
        <f>'Planilha de Composição'!B109</f>
        <v>C.P</v>
      </c>
      <c r="C35" s="1">
        <f>'Planilha de Composição'!C109</f>
        <v>0</v>
      </c>
      <c r="D35" s="348" t="str">
        <f>'Planilha de Composição'!D109</f>
        <v>FORNECIMENTO E INSTALAÇÃO DE TUBULAÇÃO DE COBRE RÍGIDO, INCLUSO CONEXÕES, Diâmetro 7/8", #1/16", COM ISOLAMENTO EM BORRACHA ELASTOMÉRICA</v>
      </c>
      <c r="E35" s="1" t="str">
        <f>'Planilha de Composição'!E109</f>
        <v>m</v>
      </c>
      <c r="F35" s="351">
        <v>4</v>
      </c>
      <c r="G35" s="272">
        <f>'Planilha de Composição'!H109</f>
        <v>102.83</v>
      </c>
      <c r="H35" s="272">
        <f>'Planilha de Composição'!I109</f>
        <v>54.61</v>
      </c>
      <c r="I35" s="117">
        <f t="shared" si="16"/>
        <v>157.44</v>
      </c>
      <c r="J35" s="166">
        <f t="shared" si="17"/>
        <v>411.32</v>
      </c>
      <c r="K35" s="166">
        <f t="shared" si="18"/>
        <v>218.44</v>
      </c>
      <c r="L35" s="167">
        <f t="shared" si="19"/>
        <v>629.76</v>
      </c>
      <c r="M35" s="169">
        <f t="shared" si="7"/>
        <v>0.2111176002216073</v>
      </c>
      <c r="N35" s="167">
        <f t="shared" si="20"/>
        <v>124.54</v>
      </c>
      <c r="O35" s="169">
        <f t="shared" si="15"/>
        <v>0.26838623884514634</v>
      </c>
      <c r="P35" s="167">
        <f t="shared" si="21"/>
        <v>69.27</v>
      </c>
      <c r="Q35" s="168">
        <f t="shared" si="22"/>
        <v>193.81</v>
      </c>
      <c r="R35" s="168">
        <f t="shared" si="23"/>
        <v>498.16</v>
      </c>
      <c r="S35" s="168">
        <f t="shared" si="24"/>
        <v>277.08</v>
      </c>
      <c r="T35" s="168">
        <f t="shared" si="25"/>
        <v>775.24</v>
      </c>
    </row>
    <row r="36" spans="1:20" ht="15.75" thickBot="1" x14ac:dyDescent="0.3">
      <c r="A36" s="1" t="str">
        <f>'Planilha de Composição'!A115</f>
        <v>4.6</v>
      </c>
      <c r="B36" s="1" t="str">
        <f>'Planilha de Composição'!B115</f>
        <v>C.P</v>
      </c>
      <c r="C36" s="1">
        <f>'Planilha de Composição'!C115</f>
        <v>0</v>
      </c>
      <c r="D36" s="348" t="str">
        <f>'Planilha de Composição'!D115</f>
        <v>FORNECIMENTO E INSTALAÇÃO DE TUBULAÇÃO DE COBRE RÍGIDO, INCLUSO CONEXÕES, Diâmetro 1", #1/16", COM ISOLAMENTO EM BORRACHA ELASTOMÉRICA</v>
      </c>
      <c r="E36" s="1" t="str">
        <f>'Planilha de Composição'!E115</f>
        <v>m</v>
      </c>
      <c r="F36" s="351">
        <v>2</v>
      </c>
      <c r="G36" s="272">
        <f>'Planilha de Composição'!H115</f>
        <v>129.63</v>
      </c>
      <c r="H36" s="272">
        <f>'Planilha de Composição'!I115</f>
        <v>75.39</v>
      </c>
      <c r="I36" s="117">
        <f>H36+G36</f>
        <v>205.01999999999998</v>
      </c>
      <c r="J36" s="166">
        <f>ROUND(G36*$F36,2)</f>
        <v>259.26</v>
      </c>
      <c r="K36" s="166">
        <f>ROUND(H36*$F36,2)</f>
        <v>150.78</v>
      </c>
      <c r="L36" s="167">
        <f>K36+J36</f>
        <v>410.03999999999996</v>
      </c>
      <c r="M36" s="169">
        <f t="shared" si="7"/>
        <v>0.2111176002216073</v>
      </c>
      <c r="N36" s="167">
        <f>ROUND(G36*(1+$M36),2)</f>
        <v>157</v>
      </c>
      <c r="O36" s="169">
        <f t="shared" si="15"/>
        <v>0.26838623884514634</v>
      </c>
      <c r="P36" s="167">
        <f>ROUND(H36*(1+$O36),2)</f>
        <v>95.62</v>
      </c>
      <c r="Q36" s="168">
        <f>P36+N36</f>
        <v>252.62</v>
      </c>
      <c r="R36" s="168">
        <f>ROUND(N36*$F36,2)</f>
        <v>314</v>
      </c>
      <c r="S36" s="168">
        <f>ROUND(P36*$F36,2)</f>
        <v>191.24</v>
      </c>
      <c r="T36" s="168">
        <f>S36+R36</f>
        <v>505.24</v>
      </c>
    </row>
    <row r="37" spans="1:20" ht="15.75" thickBot="1" x14ac:dyDescent="0.3">
      <c r="A37" s="1" t="str">
        <f>'Planilha de Composição'!A121</f>
        <v>4.7</v>
      </c>
      <c r="B37" s="1" t="str">
        <f>'Planilha de Composição'!B121</f>
        <v>C.P</v>
      </c>
      <c r="C37" s="1">
        <f>'Planilha de Composição'!C121</f>
        <v>0</v>
      </c>
      <c r="D37" s="348" t="str">
        <f>'Planilha de Composição'!D121</f>
        <v>FORNECIMENTO E INSTALAÇÃO DE TUBULAÇÃO DE COBRE RÍGIDO, INCLUSO CONEXÕES, Diâmetro 1'1/8", #1/16", COM ISOLAMENTO EM BORRACHA ELASTOMÉRICA</v>
      </c>
      <c r="E37" s="1" t="str">
        <f>'Planilha de Composição'!E121</f>
        <v>m</v>
      </c>
      <c r="F37" s="351">
        <v>10</v>
      </c>
      <c r="G37" s="272">
        <f>'Planilha de Composição'!H121</f>
        <v>141.19999999999999</v>
      </c>
      <c r="H37" s="272">
        <f>'Planilha de Composição'!I121</f>
        <v>75.39</v>
      </c>
      <c r="I37" s="117">
        <f t="shared" si="16"/>
        <v>216.58999999999997</v>
      </c>
      <c r="J37" s="166">
        <f t="shared" si="17"/>
        <v>1412</v>
      </c>
      <c r="K37" s="166">
        <f t="shared" si="18"/>
        <v>753.9</v>
      </c>
      <c r="L37" s="167">
        <f t="shared" si="19"/>
        <v>2165.9</v>
      </c>
      <c r="M37" s="169">
        <f t="shared" si="7"/>
        <v>0.2111176002216073</v>
      </c>
      <c r="N37" s="167">
        <f t="shared" si="20"/>
        <v>171.01</v>
      </c>
      <c r="O37" s="169">
        <f t="shared" si="15"/>
        <v>0.26838623884514634</v>
      </c>
      <c r="P37" s="167">
        <f t="shared" si="21"/>
        <v>95.62</v>
      </c>
      <c r="Q37" s="168">
        <f t="shared" si="22"/>
        <v>266.63</v>
      </c>
      <c r="R37" s="168">
        <f t="shared" si="23"/>
        <v>1710.1</v>
      </c>
      <c r="S37" s="168">
        <f t="shared" si="24"/>
        <v>956.2</v>
      </c>
      <c r="T37" s="168">
        <f t="shared" si="25"/>
        <v>2666.3</v>
      </c>
    </row>
    <row r="38" spans="1:20" ht="15.75" thickBot="1" x14ac:dyDescent="0.3">
      <c r="A38" s="1" t="str">
        <f>'Planilha de Composição'!A127</f>
        <v>4.8</v>
      </c>
      <c r="B38" s="1" t="str">
        <f>'Planilha de Composição'!B127</f>
        <v>C.P</v>
      </c>
      <c r="C38" s="1">
        <f>'Planilha de Composição'!C127</f>
        <v>0</v>
      </c>
      <c r="D38" s="348" t="str">
        <f>'Planilha de Composição'!D127</f>
        <v xml:space="preserve">FORNECIMENTO E INSTALAÇÃO DE TUBULAÇÃO DE COBRE RÍGIDO, INCLUSO CONEXÕES, Diâmetro 1'1/4", #1/16", COM ISOLAMENTO EM BORRACHA ELASTOMÉRICA </v>
      </c>
      <c r="E38" s="1" t="str">
        <f>'Planilha de Composição'!E127</f>
        <v>m</v>
      </c>
      <c r="F38" s="351">
        <v>20</v>
      </c>
      <c r="G38" s="272">
        <f>'Planilha de Composição'!H127</f>
        <v>148.29000000000002</v>
      </c>
      <c r="H38" s="272">
        <f>'Planilha de Composição'!I127</f>
        <v>75.39</v>
      </c>
      <c r="I38" s="117">
        <f t="shared" si="16"/>
        <v>223.68</v>
      </c>
      <c r="J38" s="166">
        <f t="shared" si="17"/>
        <v>2965.8</v>
      </c>
      <c r="K38" s="166">
        <f t="shared" si="18"/>
        <v>1507.8</v>
      </c>
      <c r="L38" s="167">
        <f t="shared" si="19"/>
        <v>4473.6000000000004</v>
      </c>
      <c r="M38" s="169">
        <f t="shared" si="7"/>
        <v>0.2111176002216073</v>
      </c>
      <c r="N38" s="167">
        <f t="shared" si="20"/>
        <v>179.6</v>
      </c>
      <c r="O38" s="169">
        <f t="shared" si="15"/>
        <v>0.26838623884514634</v>
      </c>
      <c r="P38" s="167">
        <f t="shared" si="21"/>
        <v>95.62</v>
      </c>
      <c r="Q38" s="168">
        <f t="shared" si="22"/>
        <v>275.22000000000003</v>
      </c>
      <c r="R38" s="168">
        <f t="shared" si="23"/>
        <v>3592</v>
      </c>
      <c r="S38" s="168">
        <f t="shared" si="24"/>
        <v>1912.4</v>
      </c>
      <c r="T38" s="168">
        <f t="shared" si="25"/>
        <v>5504.4</v>
      </c>
    </row>
    <row r="39" spans="1:20" ht="15.75" thickBot="1" x14ac:dyDescent="0.3">
      <c r="A39" s="1" t="str">
        <f>'Planilha de Composição'!A133</f>
        <v>4.9</v>
      </c>
      <c r="B39" s="1" t="str">
        <f>'Planilha de Composição'!B133</f>
        <v>C.P</v>
      </c>
      <c r="C39" s="1">
        <f>'Planilha de Composição'!C133</f>
        <v>0</v>
      </c>
      <c r="D39" s="348" t="str">
        <f>'Planilha de Composição'!D133</f>
        <v xml:space="preserve">FORNECIMENTO E INSTALAÇÃO DE TUBULAÇÃO DE COBRE RÍGIDO, INCLUSO CONEXÕES, Diâmetro 1'1/2", #1/16", COM ISOLAMENTO EM BORRACHA ELASTOMÉRICA </v>
      </c>
      <c r="E39" s="1" t="str">
        <f>'Planilha de Composição'!E133</f>
        <v>m</v>
      </c>
      <c r="F39" s="351">
        <v>34</v>
      </c>
      <c r="G39" s="272">
        <f>'Planilha de Composição'!H133</f>
        <v>200.47</v>
      </c>
      <c r="H39" s="272">
        <f>'Planilha de Composição'!I133</f>
        <v>80.91</v>
      </c>
      <c r="I39" s="117">
        <f t="shared" si="16"/>
        <v>281.38</v>
      </c>
      <c r="J39" s="166">
        <f t="shared" si="17"/>
        <v>6815.98</v>
      </c>
      <c r="K39" s="166">
        <f t="shared" si="18"/>
        <v>2750.94</v>
      </c>
      <c r="L39" s="167">
        <f t="shared" si="19"/>
        <v>9566.92</v>
      </c>
      <c r="M39" s="169">
        <f t="shared" si="7"/>
        <v>0.2111176002216073</v>
      </c>
      <c r="N39" s="167">
        <f t="shared" si="20"/>
        <v>242.79</v>
      </c>
      <c r="O39" s="169">
        <f t="shared" si="15"/>
        <v>0.26838623884514634</v>
      </c>
      <c r="P39" s="167">
        <f t="shared" si="21"/>
        <v>102.63</v>
      </c>
      <c r="Q39" s="168">
        <f t="shared" si="22"/>
        <v>345.41999999999996</v>
      </c>
      <c r="R39" s="168">
        <f t="shared" si="23"/>
        <v>8254.86</v>
      </c>
      <c r="S39" s="168">
        <f t="shared" si="24"/>
        <v>3489.42</v>
      </c>
      <c r="T39" s="168">
        <f t="shared" si="25"/>
        <v>11744.28</v>
      </c>
    </row>
    <row r="40" spans="1:20" ht="15.75" thickBot="1" x14ac:dyDescent="0.3">
      <c r="A40" s="1" t="str">
        <f>'Planilha de Composição'!A139</f>
        <v>4.10</v>
      </c>
      <c r="B40" s="1" t="str">
        <f>'Planilha de Composição'!B139</f>
        <v>C.P</v>
      </c>
      <c r="C40" s="1">
        <f>'Planilha de Composição'!C139</f>
        <v>0</v>
      </c>
      <c r="D40" s="348" t="str">
        <f>'Planilha de Composição'!D139</f>
        <v>FORNECIMENTO E INSTALAÇÃO DE MANTA DE ALUMÍNIO LISO para Rechapeamento, Incluso Cintas Metálicas e Acessórios de Fixação</v>
      </c>
      <c r="E40" s="1" t="str">
        <f>'Planilha de Composição'!E139</f>
        <v>m²</v>
      </c>
      <c r="F40" s="351">
        <v>8</v>
      </c>
      <c r="G40" s="272">
        <f>'Planilha de Composição'!H139</f>
        <v>9.41</v>
      </c>
      <c r="H40" s="272">
        <f>'Planilha de Composição'!I139</f>
        <v>13.54</v>
      </c>
      <c r="I40" s="117">
        <f t="shared" si="16"/>
        <v>22.95</v>
      </c>
      <c r="J40" s="166">
        <f t="shared" si="17"/>
        <v>75.28</v>
      </c>
      <c r="K40" s="166">
        <f t="shared" si="18"/>
        <v>108.32</v>
      </c>
      <c r="L40" s="167">
        <f t="shared" si="19"/>
        <v>183.6</v>
      </c>
      <c r="M40" s="169">
        <f t="shared" si="7"/>
        <v>0.2111176002216073</v>
      </c>
      <c r="N40" s="167">
        <f t="shared" si="20"/>
        <v>11.4</v>
      </c>
      <c r="O40" s="169">
        <f t="shared" si="15"/>
        <v>0.26838623884514634</v>
      </c>
      <c r="P40" s="167">
        <f t="shared" si="21"/>
        <v>17.170000000000002</v>
      </c>
      <c r="Q40" s="168">
        <f t="shared" si="22"/>
        <v>28.57</v>
      </c>
      <c r="R40" s="168">
        <f t="shared" si="23"/>
        <v>91.2</v>
      </c>
      <c r="S40" s="168">
        <f t="shared" si="24"/>
        <v>137.36000000000001</v>
      </c>
      <c r="T40" s="168">
        <f t="shared" si="25"/>
        <v>228.56</v>
      </c>
    </row>
    <row r="41" spans="1:20" ht="15.75" thickBot="1" x14ac:dyDescent="0.3">
      <c r="A41" s="1" t="str">
        <f>'Planilha de Composição'!A143</f>
        <v>4.11</v>
      </c>
      <c r="B41" s="1" t="str">
        <f>'Planilha de Composição'!B143</f>
        <v>C.P</v>
      </c>
      <c r="C41" s="1">
        <f>'Planilha de Composição'!C143</f>
        <v>0</v>
      </c>
      <c r="D41" s="348" t="str">
        <f>'Planilha de Composição'!D143</f>
        <v>FORNECIMENTO E INSTALAÇÃO DE FLUÍDO REFRIGERANTE R410a</v>
      </c>
      <c r="E41" s="1" t="str">
        <f>'Planilha de Composição'!E143</f>
        <v>kg</v>
      </c>
      <c r="F41" s="351">
        <v>26</v>
      </c>
      <c r="G41" s="272">
        <f>'Planilha de Composição'!H143</f>
        <v>60.63</v>
      </c>
      <c r="H41" s="272">
        <f>'Planilha de Composição'!I143</f>
        <v>14.719999999999999</v>
      </c>
      <c r="I41" s="117">
        <f t="shared" si="16"/>
        <v>75.349999999999994</v>
      </c>
      <c r="J41" s="166">
        <f t="shared" si="17"/>
        <v>1576.38</v>
      </c>
      <c r="K41" s="166">
        <f t="shared" si="18"/>
        <v>382.72</v>
      </c>
      <c r="L41" s="167">
        <f t="shared" si="19"/>
        <v>1959.1000000000001</v>
      </c>
      <c r="M41" s="169">
        <f t="shared" si="7"/>
        <v>0.2111176002216073</v>
      </c>
      <c r="N41" s="167">
        <f t="shared" si="20"/>
        <v>73.430000000000007</v>
      </c>
      <c r="O41" s="169">
        <f t="shared" si="15"/>
        <v>0.26838623884514634</v>
      </c>
      <c r="P41" s="167">
        <f t="shared" si="21"/>
        <v>18.670000000000002</v>
      </c>
      <c r="Q41" s="168">
        <f t="shared" si="22"/>
        <v>92.100000000000009</v>
      </c>
      <c r="R41" s="168">
        <f t="shared" si="23"/>
        <v>1909.18</v>
      </c>
      <c r="S41" s="168">
        <f t="shared" si="24"/>
        <v>485.42</v>
      </c>
      <c r="T41" s="168">
        <f t="shared" si="25"/>
        <v>2394.6</v>
      </c>
    </row>
    <row r="42" spans="1:20" ht="15.75" thickBot="1" x14ac:dyDescent="0.3">
      <c r="A42" s="1" t="str">
        <f>'Planilha de Composição'!A147</f>
        <v>4.12</v>
      </c>
      <c r="B42" s="1" t="str">
        <f>'Planilha de Composição'!B147</f>
        <v>C.P</v>
      </c>
      <c r="C42" s="1">
        <f>'Planilha de Composição'!C147</f>
        <v>0</v>
      </c>
      <c r="D42" s="348" t="str">
        <f>'Planilha de Composição'!D147</f>
        <v>FORNECIMENTO E INSTALAÇÃO DE VÁLVULA DE SERVIÇO, diâmetro 3/8", GBC Danfoss ou equivalente.</v>
      </c>
      <c r="E42" s="1" t="str">
        <f>'Planilha de Composição'!E147</f>
        <v>un</v>
      </c>
      <c r="F42" s="351">
        <v>15</v>
      </c>
      <c r="G42" s="272">
        <f>'Planilha de Composição'!H147</f>
        <v>139</v>
      </c>
      <c r="H42" s="272">
        <f>'Planilha de Composição'!I147</f>
        <v>51.25</v>
      </c>
      <c r="I42" s="117">
        <f t="shared" si="16"/>
        <v>190.25</v>
      </c>
      <c r="J42" s="166">
        <f t="shared" si="17"/>
        <v>2085</v>
      </c>
      <c r="K42" s="166">
        <f t="shared" si="18"/>
        <v>768.75</v>
      </c>
      <c r="L42" s="167">
        <f t="shared" si="19"/>
        <v>2853.75</v>
      </c>
      <c r="M42" s="169">
        <f t="shared" si="7"/>
        <v>0.2111176002216073</v>
      </c>
      <c r="N42" s="167">
        <f t="shared" si="20"/>
        <v>168.35</v>
      </c>
      <c r="O42" s="169">
        <f t="shared" si="15"/>
        <v>0.26838623884514634</v>
      </c>
      <c r="P42" s="167">
        <f t="shared" si="21"/>
        <v>65</v>
      </c>
      <c r="Q42" s="168">
        <f t="shared" si="22"/>
        <v>233.35</v>
      </c>
      <c r="R42" s="168">
        <f t="shared" si="23"/>
        <v>2525.25</v>
      </c>
      <c r="S42" s="168">
        <f t="shared" si="24"/>
        <v>975</v>
      </c>
      <c r="T42" s="168">
        <f t="shared" si="25"/>
        <v>3500.25</v>
      </c>
    </row>
    <row r="43" spans="1:20" ht="15.75" thickBot="1" x14ac:dyDescent="0.3">
      <c r="A43" s="1" t="str">
        <f>'Planilha de Composição'!A151</f>
        <v>4.13</v>
      </c>
      <c r="B43" s="1" t="str">
        <f>'Planilha de Composição'!B151</f>
        <v>C.P</v>
      </c>
      <c r="C43" s="1">
        <f>'Planilha de Composição'!C151</f>
        <v>0</v>
      </c>
      <c r="D43" s="348" t="str">
        <f>'Planilha de Composição'!D151</f>
        <v>FORNECIMENTO E INSTALAÇÃO DE VÁLVULA DE SERVIÇO, diâmetro 5/8", GBC Danfos ou equivalente</v>
      </c>
      <c r="E43" s="1" t="str">
        <f>'Planilha de Composição'!E151</f>
        <v>un</v>
      </c>
      <c r="F43" s="351">
        <v>15</v>
      </c>
      <c r="G43" s="272">
        <f>'Planilha de Composição'!H151</f>
        <v>198</v>
      </c>
      <c r="H43" s="272">
        <f>'Planilha de Composição'!I151</f>
        <v>51.25</v>
      </c>
      <c r="I43" s="117">
        <f t="shared" si="16"/>
        <v>249.25</v>
      </c>
      <c r="J43" s="166">
        <f t="shared" si="17"/>
        <v>2970</v>
      </c>
      <c r="K43" s="166">
        <f t="shared" si="18"/>
        <v>768.75</v>
      </c>
      <c r="L43" s="167">
        <f t="shared" si="19"/>
        <v>3738.75</v>
      </c>
      <c r="M43" s="169">
        <f t="shared" si="7"/>
        <v>0.2111176002216073</v>
      </c>
      <c r="N43" s="167">
        <f t="shared" si="20"/>
        <v>239.8</v>
      </c>
      <c r="O43" s="169">
        <f t="shared" si="15"/>
        <v>0.26838623884514634</v>
      </c>
      <c r="P43" s="167">
        <f t="shared" si="21"/>
        <v>65</v>
      </c>
      <c r="Q43" s="168">
        <f t="shared" si="22"/>
        <v>304.8</v>
      </c>
      <c r="R43" s="168">
        <f t="shared" si="23"/>
        <v>3597</v>
      </c>
      <c r="S43" s="168">
        <f t="shared" si="24"/>
        <v>975</v>
      </c>
      <c r="T43" s="168">
        <f t="shared" si="25"/>
        <v>4572</v>
      </c>
    </row>
    <row r="44" spans="1:20" ht="15.75" thickBot="1" x14ac:dyDescent="0.3">
      <c r="A44" s="55">
        <f>'Planilha de Composição'!A155</f>
        <v>5</v>
      </c>
      <c r="B44" s="50"/>
      <c r="C44" s="51"/>
      <c r="D44" s="349" t="str">
        <f>'Planilha de Composição'!D155</f>
        <v>Redes de Distribuição de Ar - Dutos de Ar Externo e Acessórios</v>
      </c>
      <c r="E44" s="61"/>
      <c r="F44" s="61"/>
      <c r="G44" s="62"/>
      <c r="H44" s="62"/>
      <c r="I44" s="62"/>
      <c r="J44" s="62">
        <f>SUM(J45:J49)</f>
        <v>10806.779999999999</v>
      </c>
      <c r="K44" s="62">
        <f>SUM(K45:K49)</f>
        <v>8675.1299999999992</v>
      </c>
      <c r="L44" s="62">
        <f>SUM(L45:L49)</f>
        <v>19481.91</v>
      </c>
      <c r="M44" s="75">
        <f>$L$2</f>
        <v>0.2111176002216073</v>
      </c>
      <c r="N44" s="70"/>
      <c r="O44" s="75">
        <f>$K$2</f>
        <v>0.26838623884514634</v>
      </c>
      <c r="P44" s="70"/>
      <c r="Q44" s="62"/>
      <c r="R44" s="62">
        <f>SUM(R45:R49)</f>
        <v>13088.35</v>
      </c>
      <c r="S44" s="62">
        <f>SUM(S45:S49)</f>
        <v>11003.720000000001</v>
      </c>
      <c r="T44" s="62">
        <f>SUM(T45:T49)</f>
        <v>24092.07</v>
      </c>
    </row>
    <row r="45" spans="1:20" ht="15.75" thickBot="1" x14ac:dyDescent="0.3">
      <c r="A45" s="1" t="str">
        <f>'Planilha de Composição'!A156</f>
        <v>5.1</v>
      </c>
      <c r="B45" s="1" t="str">
        <f>'Planilha de Composição'!B156</f>
        <v>C.P</v>
      </c>
      <c r="C45" s="1">
        <f>'Planilha de Composição'!C156</f>
        <v>0</v>
      </c>
      <c r="D45" s="348" t="str">
        <f>'Planilha de Composição'!D156</f>
        <v>FORNECIMENTO, FABRICAÇÃO E MONTAGEM DE DUTOS DE AR em MPU/ALUPIR #20mm</v>
      </c>
      <c r="E45" s="1" t="str">
        <f>'Planilha de Composição'!E156</f>
        <v>m²</v>
      </c>
      <c r="F45" s="351">
        <v>65</v>
      </c>
      <c r="G45" s="3">
        <f>'Planilha de Composição'!H156</f>
        <v>133.62</v>
      </c>
      <c r="H45" s="3">
        <f>'Planilha de Composição'!I156</f>
        <v>104.75999999999999</v>
      </c>
      <c r="I45" s="117">
        <f>H45+G45</f>
        <v>238.38</v>
      </c>
      <c r="J45" s="166">
        <f t="shared" ref="J45:K49" si="26">ROUND(G45*$F45,2)</f>
        <v>8685.2999999999993</v>
      </c>
      <c r="K45" s="166">
        <f t="shared" si="26"/>
        <v>6809.4</v>
      </c>
      <c r="L45" s="167">
        <f>K45+J45</f>
        <v>15494.699999999999</v>
      </c>
      <c r="M45" s="169">
        <f t="shared" si="7"/>
        <v>0.2111176002216073</v>
      </c>
      <c r="N45" s="167">
        <f>ROUND(G45*(1+$M45),2)</f>
        <v>161.83000000000001</v>
      </c>
      <c r="O45" s="169">
        <f t="shared" si="15"/>
        <v>0.26838623884514634</v>
      </c>
      <c r="P45" s="167">
        <f>ROUND(H45*(1+$O45),2)</f>
        <v>132.88</v>
      </c>
      <c r="Q45" s="168">
        <f>P45+N45</f>
        <v>294.71000000000004</v>
      </c>
      <c r="R45" s="168">
        <f>ROUND(N45*$F45,2)</f>
        <v>10518.95</v>
      </c>
      <c r="S45" s="168">
        <f>ROUND(P45*$F45,2)</f>
        <v>8637.2000000000007</v>
      </c>
      <c r="T45" s="168">
        <f>S45+R45</f>
        <v>19156.150000000001</v>
      </c>
    </row>
    <row r="46" spans="1:20" ht="15.75" thickBot="1" x14ac:dyDescent="0.3">
      <c r="A46" s="1" t="str">
        <f>'Planilha de Composição'!A163</f>
        <v>5.2</v>
      </c>
      <c r="B46" s="1" t="str">
        <f>'Planilha de Composição'!B163</f>
        <v>C.P</v>
      </c>
      <c r="C46" s="1">
        <f>'Planilha de Composição'!C163</f>
        <v>0</v>
      </c>
      <c r="D46" s="348" t="str">
        <f>'Planilha de Composição'!D163</f>
        <v>FORNECIMENTO E INSTALAÇÃO de Porta de Inspeção para Duto, Pré-Fabricada, Dimensões 250x120mm, fabricação Refrin ou equivalente</v>
      </c>
      <c r="E46" s="1" t="str">
        <f>'Planilha de Composição'!E163</f>
        <v>un</v>
      </c>
      <c r="F46" s="351">
        <v>4</v>
      </c>
      <c r="G46" s="3">
        <f>'Planilha de Composição'!H163</f>
        <v>182.67</v>
      </c>
      <c r="H46" s="3">
        <f>'Planilha de Composição'!I163</f>
        <v>72.67</v>
      </c>
      <c r="I46" s="117">
        <f>H46+G46</f>
        <v>255.33999999999997</v>
      </c>
      <c r="J46" s="166">
        <f t="shared" si="26"/>
        <v>730.68</v>
      </c>
      <c r="K46" s="166">
        <f t="shared" si="26"/>
        <v>290.68</v>
      </c>
      <c r="L46" s="167">
        <f>K46+J46</f>
        <v>1021.3599999999999</v>
      </c>
      <c r="M46" s="169">
        <f t="shared" si="7"/>
        <v>0.2111176002216073</v>
      </c>
      <c r="N46" s="167">
        <f>ROUND(G46*(1+$M46),2)</f>
        <v>221.23</v>
      </c>
      <c r="O46" s="169">
        <f t="shared" si="15"/>
        <v>0.26838623884514634</v>
      </c>
      <c r="P46" s="167">
        <f>ROUND(H46*(1+$O46),2)</f>
        <v>92.17</v>
      </c>
      <c r="Q46" s="168">
        <f>P46+N46</f>
        <v>313.39999999999998</v>
      </c>
      <c r="R46" s="168">
        <f>ROUND(N46*$F46,2)</f>
        <v>884.92</v>
      </c>
      <c r="S46" s="168">
        <f>ROUND(P46*$F46,2)</f>
        <v>368.68</v>
      </c>
      <c r="T46" s="168">
        <f>S46+R46</f>
        <v>1253.5999999999999</v>
      </c>
    </row>
    <row r="47" spans="1:20" ht="15.75" thickBot="1" x14ac:dyDescent="0.3">
      <c r="A47" s="1" t="str">
        <f>'Planilha de Composição'!A167</f>
        <v>5.3</v>
      </c>
      <c r="B47" s="1" t="str">
        <f>'Planilha de Composição'!B167</f>
        <v>C.P</v>
      </c>
      <c r="C47" s="1">
        <f>'Planilha de Composição'!C167</f>
        <v>0</v>
      </c>
      <c r="D47" s="348" t="str">
        <f>'Planilha de Composição'!D167</f>
        <v>FORNECIMENTO E INSTALAÇÃO de Grelha de Insuflamento/Retorno, Mod. VAT-DG, Dimensões 225x165mm, fabricação Trox ou equivalente</v>
      </c>
      <c r="E47" s="1" t="str">
        <f>'Planilha de Composição'!E167</f>
        <v>un</v>
      </c>
      <c r="F47" s="351">
        <v>15</v>
      </c>
      <c r="G47" s="3">
        <f>'Planilha de Composição'!H167</f>
        <v>79.7</v>
      </c>
      <c r="H47" s="3">
        <f>'Planilha de Composição'!I167</f>
        <v>92.65</v>
      </c>
      <c r="I47" s="117">
        <f>H47+G47</f>
        <v>172.35000000000002</v>
      </c>
      <c r="J47" s="166">
        <f t="shared" si="26"/>
        <v>1195.5</v>
      </c>
      <c r="K47" s="166">
        <f t="shared" si="26"/>
        <v>1389.75</v>
      </c>
      <c r="L47" s="167">
        <f>K47+J47</f>
        <v>2585.25</v>
      </c>
      <c r="M47" s="169">
        <f t="shared" si="7"/>
        <v>0.2111176002216073</v>
      </c>
      <c r="N47" s="167">
        <f>ROUND(G47*(1+$M47),2)</f>
        <v>96.53</v>
      </c>
      <c r="O47" s="169">
        <f t="shared" si="15"/>
        <v>0.26838623884514634</v>
      </c>
      <c r="P47" s="167">
        <f>ROUND(H47*(1+$O47),2)</f>
        <v>117.52</v>
      </c>
      <c r="Q47" s="168">
        <f>P47+N47</f>
        <v>214.05</v>
      </c>
      <c r="R47" s="168">
        <f>ROUND(N47*$F47,2)</f>
        <v>1447.95</v>
      </c>
      <c r="S47" s="168">
        <f>ROUND(P47*$F47,2)</f>
        <v>1762.8</v>
      </c>
      <c r="T47" s="168">
        <f>S47+R47</f>
        <v>3210.75</v>
      </c>
    </row>
    <row r="48" spans="1:20" ht="15.75" thickBot="1" x14ac:dyDescent="0.3">
      <c r="A48" s="1" t="str">
        <f>'Planilha de Composição'!A171</f>
        <v>5.4</v>
      </c>
      <c r="B48" s="1" t="str">
        <f>'Planilha de Composição'!B171</f>
        <v>C.P</v>
      </c>
      <c r="C48" s="1">
        <f>'Planilha de Composição'!C171</f>
        <v>0</v>
      </c>
      <c r="D48" s="348" t="str">
        <f>'Planilha de Composição'!D171</f>
        <v>FORNECIMENTO E INSTALAÇÃO de Damper de Regulagem, Mod. JN-B, Dimensões 200x250mm, fabricação Trox ou equivalente</v>
      </c>
      <c r="E48" s="1" t="str">
        <f>'Planilha de Composição'!E171</f>
        <v>un</v>
      </c>
      <c r="F48" s="351">
        <v>1</v>
      </c>
      <c r="G48" s="3">
        <f>'Planilha de Composição'!H171</f>
        <v>107.59</v>
      </c>
      <c r="H48" s="3">
        <f>'Planilha de Composição'!I171</f>
        <v>92.65</v>
      </c>
      <c r="I48" s="117">
        <f>H48+G48</f>
        <v>200.24</v>
      </c>
      <c r="J48" s="166">
        <f t="shared" si="26"/>
        <v>107.59</v>
      </c>
      <c r="K48" s="166">
        <f t="shared" si="26"/>
        <v>92.65</v>
      </c>
      <c r="L48" s="167">
        <f>K48+J48</f>
        <v>200.24</v>
      </c>
      <c r="M48" s="169">
        <f t="shared" si="7"/>
        <v>0.2111176002216073</v>
      </c>
      <c r="N48" s="167">
        <f>ROUND(G48*(1+$M48),2)</f>
        <v>130.30000000000001</v>
      </c>
      <c r="O48" s="169">
        <f t="shared" si="15"/>
        <v>0.26838623884514634</v>
      </c>
      <c r="P48" s="167">
        <f>ROUND(H48*(1+$O48),2)</f>
        <v>117.52</v>
      </c>
      <c r="Q48" s="168">
        <f>P48+N48</f>
        <v>247.82</v>
      </c>
      <c r="R48" s="168">
        <f>ROUND(N48*$F48,2)</f>
        <v>130.30000000000001</v>
      </c>
      <c r="S48" s="168">
        <f>ROUND(P48*$F48,2)</f>
        <v>117.52</v>
      </c>
      <c r="T48" s="168">
        <f>S48+R48</f>
        <v>247.82</v>
      </c>
    </row>
    <row r="49" spans="1:20" ht="15.75" thickBot="1" x14ac:dyDescent="0.3">
      <c r="A49" s="1" t="str">
        <f>'Planilha de Composição'!A175</f>
        <v>5.5</v>
      </c>
      <c r="B49" s="1" t="str">
        <f>'Planilha de Composição'!B175</f>
        <v>C.P</v>
      </c>
      <c r="C49" s="1">
        <f>'Planilha de Composição'!C175</f>
        <v>0</v>
      </c>
      <c r="D49" s="348" t="str">
        <f>'Planilha de Composição'!D175</f>
        <v>FORNECIMENTO E INSTALAÇÃO de Veneziana para Tomada de Ar Externo, Mod. AWG, Dimensões 397x197mm, fabricação Trox ou equivalente</v>
      </c>
      <c r="E49" s="1" t="str">
        <f>'Planilha de Composição'!E175</f>
        <v>un</v>
      </c>
      <c r="F49" s="351">
        <v>1</v>
      </c>
      <c r="G49" s="3">
        <f>'Planilha de Composição'!H175</f>
        <v>87.71</v>
      </c>
      <c r="H49" s="3">
        <f>'Planilha de Composição'!I175</f>
        <v>92.65</v>
      </c>
      <c r="I49" s="117">
        <f>H49+G49</f>
        <v>180.36</v>
      </c>
      <c r="J49" s="166">
        <f t="shared" si="26"/>
        <v>87.71</v>
      </c>
      <c r="K49" s="166">
        <f t="shared" si="26"/>
        <v>92.65</v>
      </c>
      <c r="L49" s="167">
        <f>K49+J49</f>
        <v>180.36</v>
      </c>
      <c r="M49" s="169">
        <f t="shared" si="7"/>
        <v>0.2111176002216073</v>
      </c>
      <c r="N49" s="167">
        <f>ROUND(G49*(1+$M49),2)</f>
        <v>106.23</v>
      </c>
      <c r="O49" s="169">
        <f t="shared" si="15"/>
        <v>0.26838623884514634</v>
      </c>
      <c r="P49" s="167">
        <f>ROUND(H49*(1+$O49),2)</f>
        <v>117.52</v>
      </c>
      <c r="Q49" s="168">
        <f>P49+N49</f>
        <v>223.75</v>
      </c>
      <c r="R49" s="168">
        <f>ROUND(N49*$F49,2)</f>
        <v>106.23</v>
      </c>
      <c r="S49" s="168">
        <f>ROUND(P49*$F49,2)</f>
        <v>117.52</v>
      </c>
      <c r="T49" s="168">
        <f>S49+R49</f>
        <v>223.75</v>
      </c>
    </row>
    <row r="50" spans="1:20" ht="15.75" thickBot="1" x14ac:dyDescent="0.3">
      <c r="A50" s="55">
        <f>'Planilha de Composição'!A179</f>
        <v>6</v>
      </c>
      <c r="B50" s="50"/>
      <c r="C50" s="51"/>
      <c r="D50" s="349" t="str">
        <f>'Planilha de Composição'!D179</f>
        <v>Instalações Elétricas - QFAC, Circuitos Terminais e Circuitos de Sinal entre Unidades I Automação</v>
      </c>
      <c r="E50" s="61"/>
      <c r="F50" s="61"/>
      <c r="G50" s="62"/>
      <c r="H50" s="62"/>
      <c r="I50" s="62"/>
      <c r="J50" s="62">
        <f>SUM(J51:J63)</f>
        <v>33453.78</v>
      </c>
      <c r="K50" s="62">
        <f>SUM(K51:K63)</f>
        <v>17697.220000000005</v>
      </c>
      <c r="L50" s="62">
        <f>SUM(L51:L63)</f>
        <v>51150.999999999993</v>
      </c>
      <c r="M50" s="75">
        <f>$L$2</f>
        <v>0.2111176002216073</v>
      </c>
      <c r="N50" s="70"/>
      <c r="O50" s="75">
        <f>$K$2</f>
        <v>0.26838623884514634</v>
      </c>
      <c r="P50" s="70"/>
      <c r="Q50" s="62"/>
      <c r="R50" s="62">
        <f>SUM(R51:R63)</f>
        <v>40513.870000000003</v>
      </c>
      <c r="S50" s="62">
        <f>SUM(S51:S63)</f>
        <v>22448.730000000003</v>
      </c>
      <c r="T50" s="62">
        <f>SUM(T51:T63)</f>
        <v>62962.600000000006</v>
      </c>
    </row>
    <row r="51" spans="1:20" ht="15.75" thickBot="1" x14ac:dyDescent="0.3">
      <c r="A51" s="1" t="str">
        <f>'Planilha de Composição'!A180</f>
        <v>6.1</v>
      </c>
      <c r="B51" s="1" t="str">
        <f>'Planilha de Composição'!B180</f>
        <v>C.P</v>
      </c>
      <c r="C51" s="1">
        <f>'Planilha de Composição'!C180</f>
        <v>0</v>
      </c>
      <c r="D51" s="348" t="str">
        <f>'Planilha de Composição'!D180</f>
        <v>Quadro Elétrico - QF-AC - FORNECIMENTO E INSTALAÇÃO</v>
      </c>
      <c r="E51" s="1" t="str">
        <f>'Planilha de Composição'!E180</f>
        <v>un</v>
      </c>
      <c r="F51" s="351">
        <v>1</v>
      </c>
      <c r="G51" s="3">
        <f>'Planilha de Composição'!H180</f>
        <v>8857.98</v>
      </c>
      <c r="H51" s="3">
        <f>'Planilha de Composição'!I180</f>
        <v>1580.48</v>
      </c>
      <c r="I51" s="117">
        <f t="shared" ref="I51:I63" si="27">H51+G51</f>
        <v>10438.459999999999</v>
      </c>
      <c r="J51" s="166">
        <f t="shared" ref="J51:J63" si="28">ROUND(G51*$F51,2)</f>
        <v>8857.98</v>
      </c>
      <c r="K51" s="166">
        <f t="shared" ref="K51:K63" si="29">ROUND(H51*$F51,2)</f>
        <v>1580.48</v>
      </c>
      <c r="L51" s="167">
        <f t="shared" ref="L51:L63" si="30">K51+J51</f>
        <v>10438.459999999999</v>
      </c>
      <c r="M51" s="169">
        <f t="shared" si="7"/>
        <v>0.2111176002216073</v>
      </c>
      <c r="N51" s="167">
        <f t="shared" ref="N51:N63" si="31">ROUND(G51*(1+$M51),2)</f>
        <v>10728.06</v>
      </c>
      <c r="O51" s="169">
        <f t="shared" si="15"/>
        <v>0.26838623884514634</v>
      </c>
      <c r="P51" s="167">
        <f t="shared" ref="P51:P63" si="32">ROUND(H51*(1+$O51),2)</f>
        <v>2004.66</v>
      </c>
      <c r="Q51" s="168">
        <f t="shared" ref="Q51:Q63" si="33">P51+N51</f>
        <v>12732.72</v>
      </c>
      <c r="R51" s="168">
        <f t="shared" ref="R51:R63" si="34">ROUND(N51*$F51,2)</f>
        <v>10728.06</v>
      </c>
      <c r="S51" s="168">
        <f t="shared" ref="S51:S63" si="35">ROUND(P51*$F51,2)</f>
        <v>2004.66</v>
      </c>
      <c r="T51" s="168">
        <f t="shared" ref="T51:T63" si="36">S51+R51</f>
        <v>12732.72</v>
      </c>
    </row>
    <row r="52" spans="1:20" ht="15.75" thickBot="1" x14ac:dyDescent="0.3">
      <c r="A52" s="1" t="str">
        <f>'Planilha de Composição'!A185</f>
        <v>6.2</v>
      </c>
      <c r="B52" s="1" t="str">
        <f>'Planilha de Composição'!B185</f>
        <v>C.P</v>
      </c>
      <c r="C52" s="1">
        <f>'Planilha de Composição'!C185</f>
        <v>0</v>
      </c>
      <c r="D52" s="348" t="str">
        <f>'Planilha de Composição'!D185</f>
        <v>DISJUNTOR TRIPOLAR EM CAIXA MOLDADA, 125,00A, Icc = 18kA - FORNECIMENTO E INSTALAÇÃO</v>
      </c>
      <c r="E52" s="1" t="str">
        <f>'Planilha de Composição'!E185</f>
        <v>un</v>
      </c>
      <c r="F52" s="351">
        <v>1</v>
      </c>
      <c r="G52" s="3">
        <f>'Planilha de Composição'!H185</f>
        <v>458.96</v>
      </c>
      <c r="H52" s="3">
        <f>'Planilha de Composição'!I185</f>
        <v>85.39</v>
      </c>
      <c r="I52" s="117">
        <f t="shared" si="27"/>
        <v>544.35</v>
      </c>
      <c r="J52" s="166">
        <f t="shared" si="28"/>
        <v>458.96</v>
      </c>
      <c r="K52" s="166">
        <f t="shared" si="29"/>
        <v>85.39</v>
      </c>
      <c r="L52" s="167">
        <f t="shared" si="30"/>
        <v>544.35</v>
      </c>
      <c r="M52" s="169">
        <f t="shared" ref="M52:M63" si="37">$L$2</f>
        <v>0.2111176002216073</v>
      </c>
      <c r="N52" s="167">
        <f t="shared" si="31"/>
        <v>555.85</v>
      </c>
      <c r="O52" s="169">
        <f t="shared" si="15"/>
        <v>0.26838623884514634</v>
      </c>
      <c r="P52" s="167">
        <f t="shared" si="32"/>
        <v>108.31</v>
      </c>
      <c r="Q52" s="168">
        <f t="shared" si="33"/>
        <v>664.16000000000008</v>
      </c>
      <c r="R52" s="168">
        <f t="shared" si="34"/>
        <v>555.85</v>
      </c>
      <c r="S52" s="168">
        <f t="shared" si="35"/>
        <v>108.31</v>
      </c>
      <c r="T52" s="168">
        <f t="shared" si="36"/>
        <v>664.16000000000008</v>
      </c>
    </row>
    <row r="53" spans="1:20" ht="15.75" thickBot="1" x14ac:dyDescent="0.3">
      <c r="A53" s="1" t="str">
        <f>'Planilha de Composição'!A189</f>
        <v>6.3</v>
      </c>
      <c r="B53" s="1" t="str">
        <f>'Planilha de Composição'!B189</f>
        <v>C.P</v>
      </c>
      <c r="C53" s="1">
        <f>'Planilha de Composição'!C189</f>
        <v>0</v>
      </c>
      <c r="D53" s="348" t="str">
        <f>'Planilha de Composição'!D189</f>
        <v>FORNECIMENTO E INSTALAÇÃO DE ELETRODUTO EM AÇO GALVANIZADO SEMI-PESADO, INCLUINDO CONEXÕES, D.N. 1'1/2"</v>
      </c>
      <c r="E53" s="1" t="str">
        <f>'Planilha de Composição'!E189</f>
        <v>m</v>
      </c>
      <c r="F53" s="351">
        <v>47</v>
      </c>
      <c r="G53" s="3">
        <f>'Planilha de Composição'!H189</f>
        <v>78.62</v>
      </c>
      <c r="H53" s="3">
        <f>'Planilha de Composição'!I189</f>
        <v>48.4</v>
      </c>
      <c r="I53" s="117">
        <f t="shared" si="27"/>
        <v>127.02000000000001</v>
      </c>
      <c r="J53" s="166">
        <f t="shared" si="28"/>
        <v>3695.14</v>
      </c>
      <c r="K53" s="166">
        <f t="shared" si="29"/>
        <v>2274.8000000000002</v>
      </c>
      <c r="L53" s="167">
        <f t="shared" si="30"/>
        <v>5969.9400000000005</v>
      </c>
      <c r="M53" s="169">
        <f t="shared" si="37"/>
        <v>0.2111176002216073</v>
      </c>
      <c r="N53" s="167">
        <f t="shared" si="31"/>
        <v>95.22</v>
      </c>
      <c r="O53" s="169">
        <f t="shared" si="15"/>
        <v>0.26838623884514634</v>
      </c>
      <c r="P53" s="167">
        <f t="shared" si="32"/>
        <v>61.39</v>
      </c>
      <c r="Q53" s="168">
        <f t="shared" si="33"/>
        <v>156.61000000000001</v>
      </c>
      <c r="R53" s="168">
        <f t="shared" si="34"/>
        <v>4475.34</v>
      </c>
      <c r="S53" s="168">
        <f t="shared" si="35"/>
        <v>2885.33</v>
      </c>
      <c r="T53" s="168">
        <f t="shared" si="36"/>
        <v>7360.67</v>
      </c>
    </row>
    <row r="54" spans="1:20" ht="15.75" thickBot="1" x14ac:dyDescent="0.3">
      <c r="A54" s="1" t="str">
        <f>'Planilha de Composição'!A194</f>
        <v>6.4</v>
      </c>
      <c r="B54" s="1" t="str">
        <f>'Planilha de Composição'!B194</f>
        <v>C.P</v>
      </c>
      <c r="C54" s="1">
        <f>'Planilha de Composição'!C194</f>
        <v>0</v>
      </c>
      <c r="D54" s="348" t="str">
        <f>'Planilha de Composição'!D194</f>
        <v>FORNECIMENTO E INSTALAÇÃO DE ELETRODUTO EM AÇO GALVANIZADO SEMI-PESADO, INCLUINDO CONEXÕES, D.N. 1"</v>
      </c>
      <c r="E54" s="1" t="str">
        <f>'Planilha de Composição'!E194</f>
        <v>m</v>
      </c>
      <c r="F54" s="351">
        <v>60</v>
      </c>
      <c r="G54" s="3">
        <f>'Planilha de Composição'!H194</f>
        <v>44.510000000000005</v>
      </c>
      <c r="H54" s="3">
        <f>'Planilha de Composição'!I194</f>
        <v>32.269999999999996</v>
      </c>
      <c r="I54" s="117">
        <f t="shared" si="27"/>
        <v>76.78</v>
      </c>
      <c r="J54" s="166">
        <f t="shared" si="28"/>
        <v>2670.6</v>
      </c>
      <c r="K54" s="166">
        <f t="shared" si="29"/>
        <v>1936.2</v>
      </c>
      <c r="L54" s="167">
        <f t="shared" si="30"/>
        <v>4606.8</v>
      </c>
      <c r="M54" s="169">
        <f t="shared" si="37"/>
        <v>0.2111176002216073</v>
      </c>
      <c r="N54" s="167">
        <f t="shared" si="31"/>
        <v>53.91</v>
      </c>
      <c r="O54" s="169">
        <f t="shared" si="15"/>
        <v>0.26838623884514634</v>
      </c>
      <c r="P54" s="167">
        <f t="shared" si="32"/>
        <v>40.93</v>
      </c>
      <c r="Q54" s="168">
        <f t="shared" si="33"/>
        <v>94.84</v>
      </c>
      <c r="R54" s="168">
        <f t="shared" si="34"/>
        <v>3234.6</v>
      </c>
      <c r="S54" s="168">
        <f t="shared" si="35"/>
        <v>2455.8000000000002</v>
      </c>
      <c r="T54" s="168">
        <f t="shared" si="36"/>
        <v>5690.4</v>
      </c>
    </row>
    <row r="55" spans="1:20" ht="15.75" thickBot="1" x14ac:dyDescent="0.3">
      <c r="A55" s="1" t="str">
        <f>'Planilha de Composição'!A199</f>
        <v>6.5</v>
      </c>
      <c r="B55" s="1" t="str">
        <f>'Planilha de Composição'!B199</f>
        <v>C.P</v>
      </c>
      <c r="C55" s="1">
        <f>'Planilha de Composição'!C199</f>
        <v>0</v>
      </c>
      <c r="D55" s="348" t="str">
        <f>'Planilha de Composição'!D199</f>
        <v>FORNECIMENTO E INSTALAÇÃO DE ELETRODUTO EM AÇO GALVANIZADO SEMI-PESADO, INCLUINDO CONEXÕES, D.N. 3/4"</v>
      </c>
      <c r="E55" s="1" t="str">
        <f>'Planilha de Composição'!E199</f>
        <v>m</v>
      </c>
      <c r="F55" s="351">
        <v>210</v>
      </c>
      <c r="G55" s="3">
        <f>'Planilha de Composição'!H199</f>
        <v>34.17</v>
      </c>
      <c r="H55" s="3">
        <f>'Planilha de Composição'!I199</f>
        <v>32.269999999999996</v>
      </c>
      <c r="I55" s="117">
        <f t="shared" si="27"/>
        <v>66.44</v>
      </c>
      <c r="J55" s="166">
        <f t="shared" si="28"/>
        <v>7175.7</v>
      </c>
      <c r="K55" s="166">
        <f t="shared" si="29"/>
        <v>6776.7</v>
      </c>
      <c r="L55" s="167">
        <f t="shared" si="30"/>
        <v>13952.4</v>
      </c>
      <c r="M55" s="169">
        <f t="shared" si="37"/>
        <v>0.2111176002216073</v>
      </c>
      <c r="N55" s="167">
        <f t="shared" si="31"/>
        <v>41.38</v>
      </c>
      <c r="O55" s="169">
        <f t="shared" si="15"/>
        <v>0.26838623884514634</v>
      </c>
      <c r="P55" s="167">
        <f t="shared" si="32"/>
        <v>40.93</v>
      </c>
      <c r="Q55" s="168">
        <f t="shared" si="33"/>
        <v>82.31</v>
      </c>
      <c r="R55" s="168">
        <f t="shared" si="34"/>
        <v>8689.7999999999993</v>
      </c>
      <c r="S55" s="168">
        <f t="shared" si="35"/>
        <v>8595.2999999999993</v>
      </c>
      <c r="T55" s="168">
        <f t="shared" si="36"/>
        <v>17285.099999999999</v>
      </c>
    </row>
    <row r="56" spans="1:20" ht="27" thickBot="1" x14ac:dyDescent="0.3">
      <c r="A56" s="1" t="str">
        <f>'Planilha de Composição'!A204</f>
        <v>6.6</v>
      </c>
      <c r="B56" s="1" t="str">
        <f>'Planilha de Composição'!B204</f>
        <v>C.P</v>
      </c>
      <c r="C56" s="1">
        <f>'Planilha de Composição'!C204</f>
        <v>0</v>
      </c>
      <c r="D56" s="348" t="str">
        <f>'Planilha de Composição'!D204</f>
        <v>LIGAÇÃO TERMINAL FLEXÍVEL DE FORÇA E SINAL DAS UNIDADES EVAPORADORAS E CAIXAS DE VENTILAÇÃO, POR SEALTUBE FLEXÍVEL EM AÇO GALVANIZADO, REVESTIMENTO EM PVC", D.N. 3/4", INCLUSO CONECTOR GIRATÓRIO</v>
      </c>
      <c r="E56" s="1" t="str">
        <f>'Planilha de Composição'!E204</f>
        <v>m</v>
      </c>
      <c r="F56" s="351">
        <v>15</v>
      </c>
      <c r="G56" s="3">
        <f>'Planilha de Composição'!H204</f>
        <v>14.08</v>
      </c>
      <c r="H56" s="3">
        <f>'Planilha de Composição'!I204</f>
        <v>6.09</v>
      </c>
      <c r="I56" s="117">
        <f t="shared" si="27"/>
        <v>20.170000000000002</v>
      </c>
      <c r="J56" s="166">
        <f t="shared" si="28"/>
        <v>211.2</v>
      </c>
      <c r="K56" s="166">
        <f t="shared" si="29"/>
        <v>91.35</v>
      </c>
      <c r="L56" s="167">
        <f t="shared" si="30"/>
        <v>302.54999999999995</v>
      </c>
      <c r="M56" s="169">
        <f t="shared" si="37"/>
        <v>0.2111176002216073</v>
      </c>
      <c r="N56" s="167">
        <f t="shared" si="31"/>
        <v>17.05</v>
      </c>
      <c r="O56" s="169">
        <f t="shared" si="15"/>
        <v>0.26838623884514634</v>
      </c>
      <c r="P56" s="167">
        <f t="shared" si="32"/>
        <v>7.72</v>
      </c>
      <c r="Q56" s="168">
        <f t="shared" si="33"/>
        <v>24.77</v>
      </c>
      <c r="R56" s="168">
        <f t="shared" si="34"/>
        <v>255.75</v>
      </c>
      <c r="S56" s="168">
        <f t="shared" si="35"/>
        <v>115.8</v>
      </c>
      <c r="T56" s="168">
        <f t="shared" si="36"/>
        <v>371.55</v>
      </c>
    </row>
    <row r="57" spans="1:20" ht="15.75" thickBot="1" x14ac:dyDescent="0.3">
      <c r="A57" s="1" t="str">
        <f>'Planilha de Composição'!A209</f>
        <v>6.7</v>
      </c>
      <c r="B57" s="1" t="str">
        <f>'Planilha de Composição'!B209</f>
        <v>C.P</v>
      </c>
      <c r="C57" s="1">
        <f>'Planilha de Composição'!C209</f>
        <v>0</v>
      </c>
      <c r="D57" s="348" t="str">
        <f>'Planilha de Composição'!D209</f>
        <v>LIGAÇÃO TERMINAL FLEXÍVEL DE FORÇA E SINAL DAS UNIDADES CONDENSADORAS, POR SEALTUBE FLEXÍVEL EM AÇO GALVANIZADO, REVESTIMENTO EM PVC", D.N. 1", INCLUSO CONECTOR GIRATÓRIO</v>
      </c>
      <c r="E57" s="1" t="str">
        <f>'Planilha de Composição'!E209</f>
        <v>m</v>
      </c>
      <c r="F57" s="351">
        <v>3</v>
      </c>
      <c r="G57" s="3">
        <f>'Planilha de Composição'!H209</f>
        <v>19.53</v>
      </c>
      <c r="H57" s="3">
        <f>'Planilha de Composição'!I209</f>
        <v>6.09</v>
      </c>
      <c r="I57" s="117">
        <f t="shared" si="27"/>
        <v>25.62</v>
      </c>
      <c r="J57" s="166">
        <f t="shared" si="28"/>
        <v>58.59</v>
      </c>
      <c r="K57" s="166">
        <f t="shared" si="29"/>
        <v>18.27</v>
      </c>
      <c r="L57" s="167">
        <f t="shared" si="30"/>
        <v>76.86</v>
      </c>
      <c r="M57" s="169">
        <f t="shared" si="37"/>
        <v>0.2111176002216073</v>
      </c>
      <c r="N57" s="167">
        <f t="shared" si="31"/>
        <v>23.65</v>
      </c>
      <c r="O57" s="169">
        <f t="shared" si="15"/>
        <v>0.26838623884514634</v>
      </c>
      <c r="P57" s="167">
        <f t="shared" si="32"/>
        <v>7.72</v>
      </c>
      <c r="Q57" s="168">
        <f t="shared" si="33"/>
        <v>31.369999999999997</v>
      </c>
      <c r="R57" s="168">
        <f t="shared" si="34"/>
        <v>70.95</v>
      </c>
      <c r="S57" s="168">
        <f t="shared" si="35"/>
        <v>23.16</v>
      </c>
      <c r="T57" s="168">
        <f t="shared" si="36"/>
        <v>94.11</v>
      </c>
    </row>
    <row r="58" spans="1:20" ht="15.75" thickBot="1" x14ac:dyDescent="0.3">
      <c r="A58" s="1" t="str">
        <f>'Planilha de Composição'!A214</f>
        <v>6.8</v>
      </c>
      <c r="B58" s="1" t="str">
        <f>'Planilha de Composição'!B214</f>
        <v>C.P</v>
      </c>
      <c r="C58" s="1">
        <f>'Planilha de Composição'!C214</f>
        <v>0</v>
      </c>
      <c r="D58" s="348" t="str">
        <f>'Planilha de Composição'!D214</f>
        <v>FORNECIMENTO E INSTALAÇÃO DE CABO DE COBRE FLEXÍVEL ISOLADO, 35,0 mm², ANTI-CHAMA, NÃO HALOGENADO, ISOLAÇÃO HEPR, 1,00kV</v>
      </c>
      <c r="E58" s="1" t="str">
        <f>'Planilha de Composição'!E214</f>
        <v>m</v>
      </c>
      <c r="F58" s="351">
        <v>80</v>
      </c>
      <c r="G58" s="3">
        <f>'Planilha de Composição'!H214</f>
        <v>31.64</v>
      </c>
      <c r="H58" s="3">
        <f>'Planilha de Composição'!I214</f>
        <v>9.3500000000000014</v>
      </c>
      <c r="I58" s="117">
        <f t="shared" si="27"/>
        <v>40.99</v>
      </c>
      <c r="J58" s="166">
        <f t="shared" si="28"/>
        <v>2531.1999999999998</v>
      </c>
      <c r="K58" s="166">
        <f t="shared" si="29"/>
        <v>748</v>
      </c>
      <c r="L58" s="167">
        <f t="shared" si="30"/>
        <v>3279.2</v>
      </c>
      <c r="M58" s="169">
        <f t="shared" si="37"/>
        <v>0.2111176002216073</v>
      </c>
      <c r="N58" s="167">
        <f t="shared" si="31"/>
        <v>38.32</v>
      </c>
      <c r="O58" s="169">
        <f t="shared" ref="O58:O89" si="38">$K$2</f>
        <v>0.26838623884514634</v>
      </c>
      <c r="P58" s="167">
        <f t="shared" si="32"/>
        <v>11.86</v>
      </c>
      <c r="Q58" s="168">
        <f t="shared" si="33"/>
        <v>50.18</v>
      </c>
      <c r="R58" s="168">
        <f t="shared" si="34"/>
        <v>3065.6</v>
      </c>
      <c r="S58" s="168">
        <f t="shared" si="35"/>
        <v>948.8</v>
      </c>
      <c r="T58" s="168">
        <f t="shared" si="36"/>
        <v>4014.3999999999996</v>
      </c>
    </row>
    <row r="59" spans="1:20" ht="15.75" thickBot="1" x14ac:dyDescent="0.3">
      <c r="A59" s="1" t="str">
        <f>'Planilha de Composição'!A219</f>
        <v>6.9</v>
      </c>
      <c r="B59" s="1" t="str">
        <f>'Planilha de Composição'!B219</f>
        <v>C.P</v>
      </c>
      <c r="C59" s="1">
        <f>'Planilha de Composição'!C219</f>
        <v>0</v>
      </c>
      <c r="D59" s="348" t="str">
        <f>'Planilha de Composição'!D219</f>
        <v>FORNECIMENTO E INSTALAÇÃO DE CABO DE COBRE FLEXÍVEL ISOLADO, 25,0 mm², ANTI-CHAMA, NÃO HALOGENADO, ISOLAÇÃO HEPR, 1,00kV</v>
      </c>
      <c r="E59" s="1" t="str">
        <f>'Planilha de Composição'!E219</f>
        <v>m</v>
      </c>
      <c r="F59" s="351">
        <v>20</v>
      </c>
      <c r="G59" s="3">
        <f>'Planilha de Composição'!H219</f>
        <v>23.44</v>
      </c>
      <c r="H59" s="3">
        <f>'Planilha de Composição'!I219</f>
        <v>7.41</v>
      </c>
      <c r="I59" s="117">
        <f t="shared" si="27"/>
        <v>30.85</v>
      </c>
      <c r="J59" s="166">
        <f t="shared" si="28"/>
        <v>468.8</v>
      </c>
      <c r="K59" s="166">
        <f t="shared" si="29"/>
        <v>148.19999999999999</v>
      </c>
      <c r="L59" s="167">
        <f t="shared" si="30"/>
        <v>617</v>
      </c>
      <c r="M59" s="169">
        <f t="shared" si="37"/>
        <v>0.2111176002216073</v>
      </c>
      <c r="N59" s="167">
        <f t="shared" si="31"/>
        <v>28.39</v>
      </c>
      <c r="O59" s="169">
        <f t="shared" si="38"/>
        <v>0.26838623884514634</v>
      </c>
      <c r="P59" s="167">
        <f t="shared" si="32"/>
        <v>9.4</v>
      </c>
      <c r="Q59" s="168">
        <f t="shared" si="33"/>
        <v>37.79</v>
      </c>
      <c r="R59" s="168">
        <f t="shared" si="34"/>
        <v>567.79999999999995</v>
      </c>
      <c r="S59" s="168">
        <f t="shared" si="35"/>
        <v>188</v>
      </c>
      <c r="T59" s="168">
        <f t="shared" si="36"/>
        <v>755.8</v>
      </c>
    </row>
    <row r="60" spans="1:20" ht="15.75" thickBot="1" x14ac:dyDescent="0.3">
      <c r="A60" s="1" t="str">
        <f>'Planilha de Composição'!A224</f>
        <v>6.10</v>
      </c>
      <c r="B60" s="1" t="str">
        <f>'Planilha de Composição'!B224</f>
        <v>C.P</v>
      </c>
      <c r="C60" s="1">
        <f>'Planilha de Composição'!C224</f>
        <v>0</v>
      </c>
      <c r="D60" s="348" t="str">
        <f>'Planilha de Composição'!D224</f>
        <v>FORNECIMENTO E INSTALAÇÃO DE CABO DE COBRE FLEXÍVEL ISOLADO, 10,0 mm², ANTI-CHAMA, NÃO HALOGENADO, ISOLAÇÃO HEPR, 1,00kV</v>
      </c>
      <c r="E60" s="1" t="str">
        <f>'Planilha de Composição'!E224</f>
        <v>m</v>
      </c>
      <c r="F60" s="351">
        <v>348</v>
      </c>
      <c r="G60" s="3">
        <f>'Planilha de Composição'!H224</f>
        <v>9.57</v>
      </c>
      <c r="H60" s="3">
        <f>'Planilha de Composição'!I224</f>
        <v>4.96</v>
      </c>
      <c r="I60" s="117">
        <f t="shared" si="27"/>
        <v>14.530000000000001</v>
      </c>
      <c r="J60" s="166">
        <f t="shared" si="28"/>
        <v>3330.36</v>
      </c>
      <c r="K60" s="166">
        <f t="shared" si="29"/>
        <v>1726.08</v>
      </c>
      <c r="L60" s="167">
        <f t="shared" si="30"/>
        <v>5056.4400000000005</v>
      </c>
      <c r="M60" s="169">
        <f t="shared" si="37"/>
        <v>0.2111176002216073</v>
      </c>
      <c r="N60" s="167">
        <f t="shared" si="31"/>
        <v>11.59</v>
      </c>
      <c r="O60" s="169">
        <f t="shared" si="38"/>
        <v>0.26838623884514634</v>
      </c>
      <c r="P60" s="167">
        <f t="shared" si="32"/>
        <v>6.29</v>
      </c>
      <c r="Q60" s="168">
        <f t="shared" si="33"/>
        <v>17.88</v>
      </c>
      <c r="R60" s="168">
        <f t="shared" si="34"/>
        <v>4033.32</v>
      </c>
      <c r="S60" s="168">
        <f t="shared" si="35"/>
        <v>2188.92</v>
      </c>
      <c r="T60" s="168">
        <f t="shared" si="36"/>
        <v>6222.24</v>
      </c>
    </row>
    <row r="61" spans="1:20" ht="15.75" thickBot="1" x14ac:dyDescent="0.3">
      <c r="A61" s="1" t="str">
        <f>'Planilha de Composição'!A229</f>
        <v>6.11</v>
      </c>
      <c r="B61" s="1" t="str">
        <f>'Planilha de Composição'!B229</f>
        <v>C.P</v>
      </c>
      <c r="C61" s="1">
        <f>'Planilha de Composição'!C229</f>
        <v>0</v>
      </c>
      <c r="D61" s="348" t="str">
        <f>'Planilha de Composição'!D229</f>
        <v>FORNECIMENTO E INSTALAÇÃO DE CABO DE COBRE FLEXÍVEL ISOLADO, 6,0 mm², ANTI-CHAMA, NÃO HALOGENADO, ISOLAMENTO 750V</v>
      </c>
      <c r="E61" s="1" t="str">
        <f>'Planilha de Composição'!E229</f>
        <v>m</v>
      </c>
      <c r="F61" s="351">
        <v>435</v>
      </c>
      <c r="G61" s="3">
        <f>'Planilha de Composição'!H229</f>
        <v>5.2299999999999995</v>
      </c>
      <c r="H61" s="3">
        <f>'Planilha de Composição'!I229</f>
        <v>3.34</v>
      </c>
      <c r="I61" s="117">
        <f t="shared" si="27"/>
        <v>8.57</v>
      </c>
      <c r="J61" s="166">
        <f t="shared" si="28"/>
        <v>2275.0500000000002</v>
      </c>
      <c r="K61" s="166">
        <f t="shared" si="29"/>
        <v>1452.9</v>
      </c>
      <c r="L61" s="167">
        <f t="shared" si="30"/>
        <v>3727.9500000000003</v>
      </c>
      <c r="M61" s="169">
        <f t="shared" si="37"/>
        <v>0.2111176002216073</v>
      </c>
      <c r="N61" s="167">
        <f t="shared" si="31"/>
        <v>6.33</v>
      </c>
      <c r="O61" s="169">
        <f t="shared" si="38"/>
        <v>0.26838623884514634</v>
      </c>
      <c r="P61" s="167">
        <f t="shared" si="32"/>
        <v>4.24</v>
      </c>
      <c r="Q61" s="168">
        <f t="shared" si="33"/>
        <v>10.57</v>
      </c>
      <c r="R61" s="168">
        <f t="shared" si="34"/>
        <v>2753.55</v>
      </c>
      <c r="S61" s="168">
        <f t="shared" si="35"/>
        <v>1844.4</v>
      </c>
      <c r="T61" s="168">
        <f t="shared" si="36"/>
        <v>4597.9500000000007</v>
      </c>
    </row>
    <row r="62" spans="1:20" ht="15.75" thickBot="1" x14ac:dyDescent="0.3">
      <c r="A62" s="1" t="str">
        <f>'Planilha de Composição'!A234</f>
        <v>6.12</v>
      </c>
      <c r="B62" s="1" t="str">
        <f>'Planilha de Composição'!B234</f>
        <v>C.P</v>
      </c>
      <c r="C62" s="1">
        <f>'Planilha de Composição'!C234</f>
        <v>0</v>
      </c>
      <c r="D62" s="348" t="str">
        <f>'Planilha de Composição'!D234</f>
        <v xml:space="preserve">FORNECIMENTO E INSTALAÇÃO DE CABO DE COBRE FLEXÍVEL ISOLADO, 2,5 mm², ANTI-CHAMA, NÃO HALOGENADO, ISOLAMENTO 750V </v>
      </c>
      <c r="E62" s="1" t="str">
        <f>'Planilha de Composição'!E234</f>
        <v>m</v>
      </c>
      <c r="F62" s="351">
        <v>180</v>
      </c>
      <c r="G62" s="3">
        <f>'Planilha de Composição'!H234</f>
        <v>2.4899999999999998</v>
      </c>
      <c r="H62" s="3">
        <f>'Planilha de Composição'!I234</f>
        <v>1.9300000000000002</v>
      </c>
      <c r="I62" s="117">
        <f t="shared" si="27"/>
        <v>4.42</v>
      </c>
      <c r="J62" s="166">
        <f t="shared" si="28"/>
        <v>448.2</v>
      </c>
      <c r="K62" s="166">
        <f t="shared" si="29"/>
        <v>347.4</v>
      </c>
      <c r="L62" s="167">
        <f t="shared" si="30"/>
        <v>795.59999999999991</v>
      </c>
      <c r="M62" s="169">
        <f t="shared" si="37"/>
        <v>0.2111176002216073</v>
      </c>
      <c r="N62" s="167">
        <f t="shared" si="31"/>
        <v>3.02</v>
      </c>
      <c r="O62" s="169">
        <f t="shared" si="38"/>
        <v>0.26838623884514634</v>
      </c>
      <c r="P62" s="167">
        <f t="shared" si="32"/>
        <v>2.4500000000000002</v>
      </c>
      <c r="Q62" s="168">
        <f t="shared" si="33"/>
        <v>5.4700000000000006</v>
      </c>
      <c r="R62" s="168">
        <f t="shared" si="34"/>
        <v>543.6</v>
      </c>
      <c r="S62" s="168">
        <f t="shared" si="35"/>
        <v>441</v>
      </c>
      <c r="T62" s="168">
        <f t="shared" si="36"/>
        <v>984.6</v>
      </c>
    </row>
    <row r="63" spans="1:20" ht="15.75" thickBot="1" x14ac:dyDescent="0.3">
      <c r="A63" s="1" t="str">
        <f>'Planilha de Composição'!A239</f>
        <v>6.13</v>
      </c>
      <c r="B63" s="1" t="str">
        <f>'Planilha de Composição'!B239</f>
        <v>C.P</v>
      </c>
      <c r="C63" s="1">
        <f>'Planilha de Composição'!C239</f>
        <v>0</v>
      </c>
      <c r="D63" s="348" t="str">
        <f>'Planilha de Composição'!D239</f>
        <v>CABEAMENTO DE SINAL ENTRE UNIDADES, ISOLAÇÃO PVC, 2 x #1.0mm², SHIELDADO, 750 V</v>
      </c>
      <c r="E63" s="1" t="str">
        <f>'Planilha de Composição'!E239</f>
        <v>m</v>
      </c>
      <c r="F63" s="351">
        <v>265</v>
      </c>
      <c r="G63" s="3">
        <f>'Planilha de Composição'!H239</f>
        <v>4.8</v>
      </c>
      <c r="H63" s="3">
        <f>'Planilha de Composição'!I239</f>
        <v>1.9300000000000002</v>
      </c>
      <c r="I63" s="117">
        <f t="shared" si="27"/>
        <v>6.73</v>
      </c>
      <c r="J63" s="166">
        <f t="shared" si="28"/>
        <v>1272</v>
      </c>
      <c r="K63" s="166">
        <f t="shared" si="29"/>
        <v>511.45</v>
      </c>
      <c r="L63" s="167">
        <f t="shared" si="30"/>
        <v>1783.45</v>
      </c>
      <c r="M63" s="169">
        <f t="shared" si="37"/>
        <v>0.2111176002216073</v>
      </c>
      <c r="N63" s="167">
        <f t="shared" si="31"/>
        <v>5.81</v>
      </c>
      <c r="O63" s="169">
        <f t="shared" si="38"/>
        <v>0.26838623884514634</v>
      </c>
      <c r="P63" s="167">
        <f t="shared" si="32"/>
        <v>2.4500000000000002</v>
      </c>
      <c r="Q63" s="168">
        <f t="shared" si="33"/>
        <v>8.26</v>
      </c>
      <c r="R63" s="168">
        <f t="shared" si="34"/>
        <v>1539.65</v>
      </c>
      <c r="S63" s="168">
        <f t="shared" si="35"/>
        <v>649.25</v>
      </c>
      <c r="T63" s="168">
        <f t="shared" si="36"/>
        <v>2188.9</v>
      </c>
    </row>
    <row r="64" spans="1:20" ht="15.75" thickBot="1" x14ac:dyDescent="0.3">
      <c r="A64" s="55">
        <f>'Planilha de Composição'!A243</f>
        <v>7</v>
      </c>
      <c r="B64" s="50"/>
      <c r="C64" s="51"/>
      <c r="D64" s="349" t="str">
        <f>'Planilha de Composição'!D243</f>
        <v>Serviços Complementares à Entrega da Instalação Eletromecânica</v>
      </c>
      <c r="E64" s="61"/>
      <c r="F64" s="61"/>
      <c r="G64" s="62"/>
      <c r="H64" s="62"/>
      <c r="I64" s="62"/>
      <c r="J64" s="62">
        <f>SUM(J65:J73)</f>
        <v>4142.5</v>
      </c>
      <c r="K64" s="62">
        <f>SUM(K65:K73)</f>
        <v>9297.35</v>
      </c>
      <c r="L64" s="62">
        <f>SUM(L65:L73)</f>
        <v>13439.850000000002</v>
      </c>
      <c r="M64" s="75">
        <f>$L$2</f>
        <v>0.2111176002216073</v>
      </c>
      <c r="N64" s="70"/>
      <c r="O64" s="75">
        <f>$K$2</f>
        <v>0.26838623884514634</v>
      </c>
      <c r="P64" s="70"/>
      <c r="Q64" s="62"/>
      <c r="R64" s="62">
        <f>SUM(R65:R73)</f>
        <v>5016.9399999999996</v>
      </c>
      <c r="S64" s="62">
        <f>SUM(S65:S73)</f>
        <v>11793.420000000002</v>
      </c>
      <c r="T64" s="62">
        <f>SUM(T65:T73)</f>
        <v>16810.36</v>
      </c>
    </row>
    <row r="65" spans="1:20" ht="15.75" thickBot="1" x14ac:dyDescent="0.3">
      <c r="A65" s="1" t="str">
        <f>'Planilha de Composição'!A244</f>
        <v>7.1</v>
      </c>
      <c r="B65" s="1" t="str">
        <f>'Planilha de Composição'!B244</f>
        <v>C.P</v>
      </c>
      <c r="C65" s="1">
        <f>'Planilha de Composição'!C244</f>
        <v>0</v>
      </c>
      <c r="D65" s="348" t="str">
        <f>'Planilha de Composição'!D244</f>
        <v>TESTES DE ESTANQUEIDADE NOS CIRCUITOS FRIGORÍFICOS</v>
      </c>
      <c r="E65" s="1" t="str">
        <f>'Planilha de Composição'!E244</f>
        <v>un</v>
      </c>
      <c r="F65" s="351">
        <v>1.0000000000000002</v>
      </c>
      <c r="G65" s="3">
        <f>'Planilha de Composição'!H244</f>
        <v>0</v>
      </c>
      <c r="H65" s="3">
        <f>'Planilha de Composição'!I244</f>
        <v>1841.4</v>
      </c>
      <c r="I65" s="117">
        <f>H65+G65</f>
        <v>1841.4</v>
      </c>
      <c r="J65" s="166">
        <f>ROUND(G65*$F65,2)</f>
        <v>0</v>
      </c>
      <c r="K65" s="166">
        <f>ROUND(H65*$F65,2)</f>
        <v>1841.4</v>
      </c>
      <c r="L65" s="167">
        <f>K65+J65</f>
        <v>1841.4</v>
      </c>
      <c r="M65" s="169">
        <f t="shared" ref="M65:M73" si="39">$L$2</f>
        <v>0.2111176002216073</v>
      </c>
      <c r="N65" s="167">
        <f>ROUND(G65*(1+$M65),2)</f>
        <v>0</v>
      </c>
      <c r="O65" s="169">
        <f t="shared" si="38"/>
        <v>0.26838623884514634</v>
      </c>
      <c r="P65" s="167">
        <f>ROUND(H65*(1+$O65),2)</f>
        <v>2335.61</v>
      </c>
      <c r="Q65" s="168">
        <f>P65+N65</f>
        <v>2335.61</v>
      </c>
      <c r="R65" s="168">
        <f>ROUND(N65*$F65,2)</f>
        <v>0</v>
      </c>
      <c r="S65" s="168">
        <f>ROUND(P65*$F65,2)</f>
        <v>2335.61</v>
      </c>
      <c r="T65" s="168">
        <f>S65+R65</f>
        <v>2335.61</v>
      </c>
    </row>
    <row r="66" spans="1:20" ht="15.75" thickBot="1" x14ac:dyDescent="0.3">
      <c r="A66" s="1" t="str">
        <f>'Planilha de Composição'!A247</f>
        <v>7.2</v>
      </c>
      <c r="B66" s="1" t="str">
        <f>'Planilha de Composição'!B247</f>
        <v>C.P</v>
      </c>
      <c r="C66" s="1">
        <f>'Planilha de Composição'!C247</f>
        <v>0</v>
      </c>
      <c r="D66" s="348" t="str">
        <f>'Planilha de Composição'!D247</f>
        <v>EXECUÇÃO DE VÁCUO NOS CIRCUITOS FRIGORÍFICOS</v>
      </c>
      <c r="E66" s="1" t="str">
        <f>'Planilha de Composição'!E247</f>
        <v>un</v>
      </c>
      <c r="F66" s="351">
        <v>1.0000000000000002</v>
      </c>
      <c r="G66" s="3">
        <f>'Planilha de Composição'!H247</f>
        <v>0</v>
      </c>
      <c r="H66" s="3">
        <f>'Planilha de Composição'!I247</f>
        <v>1933.46</v>
      </c>
      <c r="I66" s="117">
        <f t="shared" ref="I66:I73" si="40">H66+G66</f>
        <v>1933.46</v>
      </c>
      <c r="J66" s="166">
        <f t="shared" ref="J66:J73" si="41">ROUND(G66*$F66,2)</f>
        <v>0</v>
      </c>
      <c r="K66" s="166">
        <f t="shared" ref="K66:K73" si="42">ROUND(H66*$F66,2)</f>
        <v>1933.46</v>
      </c>
      <c r="L66" s="167">
        <f t="shared" ref="L66:L73" si="43">K66+J66</f>
        <v>1933.46</v>
      </c>
      <c r="M66" s="169">
        <f t="shared" si="39"/>
        <v>0.2111176002216073</v>
      </c>
      <c r="N66" s="167">
        <f t="shared" ref="N66:N73" si="44">ROUND(G66*(1+$M66),2)</f>
        <v>0</v>
      </c>
      <c r="O66" s="169">
        <f t="shared" si="38"/>
        <v>0.26838623884514634</v>
      </c>
      <c r="P66" s="167">
        <f t="shared" ref="P66:P73" si="45">ROUND(H66*(1+$O66),2)</f>
        <v>2452.37</v>
      </c>
      <c r="Q66" s="168">
        <f t="shared" ref="Q66:Q73" si="46">P66+N66</f>
        <v>2452.37</v>
      </c>
      <c r="R66" s="168">
        <f t="shared" ref="R66:R73" si="47">ROUND(N66*$F66,2)</f>
        <v>0</v>
      </c>
      <c r="S66" s="168">
        <f t="shared" ref="S66:S73" si="48">ROUND(P66*$F66,2)</f>
        <v>2452.37</v>
      </c>
      <c r="T66" s="168">
        <f t="shared" ref="T66:T73" si="49">S66+R66</f>
        <v>2452.37</v>
      </c>
    </row>
    <row r="67" spans="1:20" ht="15.75" thickBot="1" x14ac:dyDescent="0.3">
      <c r="A67" s="1" t="str">
        <f>'Planilha de Composição'!A250</f>
        <v>7.3</v>
      </c>
      <c r="B67" s="1" t="str">
        <f>'Planilha de Composição'!B250</f>
        <v>C.P</v>
      </c>
      <c r="C67" s="1">
        <f>'Planilha de Composição'!C250</f>
        <v>0</v>
      </c>
      <c r="D67" s="348" t="str">
        <f>'Planilha de Composição'!D250</f>
        <v>TREINAMENTO PARA OPERAÇÃO DO SISTEMA, MINISTRADO POR PROFISSIONAL HABILITADO A 02 SERVIDORES/PROFISSIONAIS DO FÓRUM</v>
      </c>
      <c r="E67" s="1" t="str">
        <f>'Planilha de Composição'!E250</f>
        <v>un</v>
      </c>
      <c r="F67" s="351">
        <v>1.0000000000000002</v>
      </c>
      <c r="G67" s="3">
        <f>'Planilha de Composição'!H250</f>
        <v>0</v>
      </c>
      <c r="H67" s="3">
        <f>'Planilha de Composição'!I250</f>
        <v>1117.5</v>
      </c>
      <c r="I67" s="117">
        <f t="shared" si="40"/>
        <v>1117.5</v>
      </c>
      <c r="J67" s="166">
        <f t="shared" si="41"/>
        <v>0</v>
      </c>
      <c r="K67" s="166">
        <f t="shared" si="42"/>
        <v>1117.5</v>
      </c>
      <c r="L67" s="167">
        <f t="shared" si="43"/>
        <v>1117.5</v>
      </c>
      <c r="M67" s="169">
        <f t="shared" si="39"/>
        <v>0.2111176002216073</v>
      </c>
      <c r="N67" s="167">
        <f t="shared" si="44"/>
        <v>0</v>
      </c>
      <c r="O67" s="169">
        <f t="shared" si="38"/>
        <v>0.26838623884514634</v>
      </c>
      <c r="P67" s="167">
        <f t="shared" si="45"/>
        <v>1417.42</v>
      </c>
      <c r="Q67" s="168">
        <f t="shared" si="46"/>
        <v>1417.42</v>
      </c>
      <c r="R67" s="168">
        <f t="shared" si="47"/>
        <v>0</v>
      </c>
      <c r="S67" s="168">
        <f t="shared" si="48"/>
        <v>1417.42</v>
      </c>
      <c r="T67" s="168">
        <f t="shared" si="49"/>
        <v>1417.42</v>
      </c>
    </row>
    <row r="68" spans="1:20" ht="15.75" thickBot="1" x14ac:dyDescent="0.3">
      <c r="A68" s="1" t="str">
        <f>'Planilha de Composição'!A252</f>
        <v>7.4</v>
      </c>
      <c r="B68" s="1" t="str">
        <f>'Planilha de Composição'!B252</f>
        <v>C.P</v>
      </c>
      <c r="C68" s="1">
        <f>'Planilha de Composição'!C252</f>
        <v>0</v>
      </c>
      <c r="D68" s="348" t="str">
        <f>'Planilha de Composição'!D252</f>
        <v>START-UP DOS SISTEMAS COM SUPERVISÃO TÉCNICA DO FABRICANTE</v>
      </c>
      <c r="E68" s="1" t="str">
        <f>'Planilha de Composição'!E252</f>
        <v>un</v>
      </c>
      <c r="F68" s="351">
        <v>1.0000000000000002</v>
      </c>
      <c r="G68" s="3">
        <f>'Planilha de Composição'!H252</f>
        <v>0</v>
      </c>
      <c r="H68" s="3">
        <f>'Planilha de Composição'!I252</f>
        <v>1788</v>
      </c>
      <c r="I68" s="117">
        <f t="shared" si="40"/>
        <v>1788</v>
      </c>
      <c r="J68" s="166">
        <f t="shared" si="41"/>
        <v>0</v>
      </c>
      <c r="K68" s="166">
        <f t="shared" si="42"/>
        <v>1788</v>
      </c>
      <c r="L68" s="167">
        <f t="shared" si="43"/>
        <v>1788</v>
      </c>
      <c r="M68" s="169">
        <f t="shared" si="39"/>
        <v>0.2111176002216073</v>
      </c>
      <c r="N68" s="167">
        <f t="shared" si="44"/>
        <v>0</v>
      </c>
      <c r="O68" s="169">
        <f t="shared" si="38"/>
        <v>0.26838623884514634</v>
      </c>
      <c r="P68" s="167">
        <f t="shared" si="45"/>
        <v>2267.87</v>
      </c>
      <c r="Q68" s="168">
        <f t="shared" si="46"/>
        <v>2267.87</v>
      </c>
      <c r="R68" s="168">
        <f t="shared" si="47"/>
        <v>0</v>
      </c>
      <c r="S68" s="168">
        <f t="shared" si="48"/>
        <v>2267.87</v>
      </c>
      <c r="T68" s="168">
        <f t="shared" si="49"/>
        <v>2267.87</v>
      </c>
    </row>
    <row r="69" spans="1:20" ht="15.75" thickBot="1" x14ac:dyDescent="0.3">
      <c r="A69" s="1" t="str">
        <f>'Planilha de Composição'!A254</f>
        <v>7.5</v>
      </c>
      <c r="B69" s="1" t="str">
        <f>'Planilha de Composição'!B254</f>
        <v>SINAPI</v>
      </c>
      <c r="C69" s="1">
        <f>'Planilha de Composição'!C254</f>
        <v>100725</v>
      </c>
      <c r="D69" s="348" t="str">
        <f>'Planilha de Composição'!D254</f>
        <v>PINTURA ANTICORROSIVA E DE ACABAMENTO DOS ELETRODUTOS, TUBULAÇÕES, PERFILADOS, LINHAS RECHAPEADAS E DEMAIS ELEMENTOS METÁLICOS APARENTES</v>
      </c>
      <c r="E69" s="1" t="str">
        <f>'Planilha de Composição'!E254</f>
        <v>m²</v>
      </c>
      <c r="F69" s="351">
        <v>10</v>
      </c>
      <c r="G69" s="3">
        <f>'Planilha de Composição'!H254</f>
        <v>1.23</v>
      </c>
      <c r="H69" s="3">
        <f>'Planilha de Composição'!I254</f>
        <v>26.5</v>
      </c>
      <c r="I69" s="117">
        <f t="shared" si="40"/>
        <v>27.73</v>
      </c>
      <c r="J69" s="166">
        <f t="shared" si="41"/>
        <v>12.3</v>
      </c>
      <c r="K69" s="166">
        <f t="shared" si="42"/>
        <v>265</v>
      </c>
      <c r="L69" s="167">
        <f t="shared" si="43"/>
        <v>277.3</v>
      </c>
      <c r="M69" s="169">
        <f t="shared" si="39"/>
        <v>0.2111176002216073</v>
      </c>
      <c r="N69" s="167">
        <f t="shared" si="44"/>
        <v>1.49</v>
      </c>
      <c r="O69" s="169">
        <f t="shared" si="38"/>
        <v>0.26838623884514634</v>
      </c>
      <c r="P69" s="167">
        <f t="shared" si="45"/>
        <v>33.61</v>
      </c>
      <c r="Q69" s="168">
        <f t="shared" si="46"/>
        <v>35.1</v>
      </c>
      <c r="R69" s="168">
        <f t="shared" si="47"/>
        <v>14.9</v>
      </c>
      <c r="S69" s="168">
        <f t="shared" si="48"/>
        <v>336.1</v>
      </c>
      <c r="T69" s="168">
        <f t="shared" si="49"/>
        <v>351</v>
      </c>
    </row>
    <row r="70" spans="1:20" ht="15.75" thickBot="1" x14ac:dyDescent="0.3">
      <c r="A70" s="1" t="str">
        <f>'Planilha de Composição'!A258</f>
        <v>7.6</v>
      </c>
      <c r="B70" s="1" t="str">
        <f>'Planilha de Composição'!B258</f>
        <v>C.P</v>
      </c>
      <c r="C70" s="1">
        <f>'Planilha de Composição'!C258</f>
        <v>0</v>
      </c>
      <c r="D70" s="348" t="str">
        <f>'Planilha de Composição'!D258</f>
        <v>CALÇO DE NEOPRENE, 100x100x25mm, COMO ELEMENTO INTERMEDIÁRIO/AMORTECEDOR À SUPORTAÇÃO DAS UNIDADES CONDENSADORAS</v>
      </c>
      <c r="E70" s="1" t="str">
        <f>'Planilha de Composição'!E258</f>
        <v>un</v>
      </c>
      <c r="F70" s="351">
        <v>12</v>
      </c>
      <c r="G70" s="3">
        <f>'Planilha de Composição'!H258</f>
        <v>11.8</v>
      </c>
      <c r="H70" s="3">
        <f>'Planilha de Composição'!I258</f>
        <v>6.26</v>
      </c>
      <c r="I70" s="117">
        <f t="shared" si="40"/>
        <v>18.060000000000002</v>
      </c>
      <c r="J70" s="166">
        <f t="shared" si="41"/>
        <v>141.6</v>
      </c>
      <c r="K70" s="166">
        <f t="shared" si="42"/>
        <v>75.12</v>
      </c>
      <c r="L70" s="167">
        <f t="shared" si="43"/>
        <v>216.72</v>
      </c>
      <c r="M70" s="169">
        <f t="shared" si="39"/>
        <v>0.2111176002216073</v>
      </c>
      <c r="N70" s="167">
        <f t="shared" si="44"/>
        <v>14.29</v>
      </c>
      <c r="O70" s="169">
        <f t="shared" si="38"/>
        <v>0.26838623884514634</v>
      </c>
      <c r="P70" s="167">
        <f t="shared" si="45"/>
        <v>7.94</v>
      </c>
      <c r="Q70" s="168">
        <f t="shared" si="46"/>
        <v>22.23</v>
      </c>
      <c r="R70" s="168">
        <f t="shared" si="47"/>
        <v>171.48</v>
      </c>
      <c r="S70" s="168">
        <f t="shared" si="48"/>
        <v>95.28</v>
      </c>
      <c r="T70" s="168">
        <f t="shared" si="49"/>
        <v>266.76</v>
      </c>
    </row>
    <row r="71" spans="1:20" ht="15.75" thickBot="1" x14ac:dyDescent="0.3">
      <c r="A71" s="1" t="str">
        <f>'Planilha de Composição'!A261</f>
        <v>7.7</v>
      </c>
      <c r="B71" s="1" t="str">
        <f>'Planilha de Composição'!B261</f>
        <v>C.P</v>
      </c>
      <c r="C71" s="1">
        <f>'Planilha de Composição'!C261</f>
        <v>0</v>
      </c>
      <c r="D71" s="348" t="str">
        <f>'Planilha de Composição'!D261</f>
        <v>FORNECIMENTO E INSTALAÇÃO DO CONJUNTO DE SUPORTAÇÃO DO GABINETE DE VENTILAÇÃO</v>
      </c>
      <c r="E71" s="1" t="str">
        <f>'Planilha de Composição'!E261</f>
        <v>un</v>
      </c>
      <c r="F71" s="351">
        <v>1</v>
      </c>
      <c r="G71" s="3">
        <f>'Planilha de Composição'!H261</f>
        <v>12.850000000000001</v>
      </c>
      <c r="H71" s="3">
        <f>'Planilha de Composição'!I261</f>
        <v>4.12</v>
      </c>
      <c r="I71" s="117">
        <f t="shared" si="40"/>
        <v>16.970000000000002</v>
      </c>
      <c r="J71" s="166">
        <f t="shared" si="41"/>
        <v>12.85</v>
      </c>
      <c r="K71" s="166">
        <f t="shared" si="42"/>
        <v>4.12</v>
      </c>
      <c r="L71" s="167">
        <f t="shared" si="43"/>
        <v>16.97</v>
      </c>
      <c r="M71" s="169">
        <f t="shared" si="39"/>
        <v>0.2111176002216073</v>
      </c>
      <c r="N71" s="167">
        <f t="shared" si="44"/>
        <v>15.56</v>
      </c>
      <c r="O71" s="169">
        <f t="shared" si="38"/>
        <v>0.26838623884514634</v>
      </c>
      <c r="P71" s="167">
        <f t="shared" si="45"/>
        <v>5.23</v>
      </c>
      <c r="Q71" s="168">
        <f t="shared" si="46"/>
        <v>20.79</v>
      </c>
      <c r="R71" s="168">
        <f t="shared" si="47"/>
        <v>15.56</v>
      </c>
      <c r="S71" s="168">
        <f t="shared" si="48"/>
        <v>5.23</v>
      </c>
      <c r="T71" s="168">
        <f t="shared" si="49"/>
        <v>20.79</v>
      </c>
    </row>
    <row r="72" spans="1:20" ht="15.75" thickBot="1" x14ac:dyDescent="0.3">
      <c r="A72" s="1" t="str">
        <f>'Planilha de Composição'!A268</f>
        <v>7.8</v>
      </c>
      <c r="B72" s="1" t="str">
        <f>'Planilha de Composição'!B268</f>
        <v>C.P</v>
      </c>
      <c r="C72" s="1">
        <f>'Planilha de Composição'!C268</f>
        <v>0</v>
      </c>
      <c r="D72" s="348" t="str">
        <f>'Planilha de Composição'!D268</f>
        <v>FORNECIMENTO E INSTALAÇÃO DE CONJUNTO DE SUPORTAÇÃO DA IFRAESTRUTURA ELETROMECÂNICA, POR PERFILADO DE SEÇÃO 38X19 MM (14 E 22GSG) E ABRAÇADEIRAS METÁLICAS TIPO CUNHA</v>
      </c>
      <c r="E72" s="1" t="str">
        <f>'Planilha de Composição'!E268</f>
        <v>m</v>
      </c>
      <c r="F72" s="351">
        <v>225</v>
      </c>
      <c r="G72" s="3">
        <f>'Planilha de Composição'!H268</f>
        <v>17.670000000000002</v>
      </c>
      <c r="H72" s="3">
        <f>'Planilha de Composição'!I268</f>
        <v>2.93</v>
      </c>
      <c r="I72" s="117">
        <f t="shared" si="40"/>
        <v>20.6</v>
      </c>
      <c r="J72" s="166">
        <f t="shared" si="41"/>
        <v>3975.75</v>
      </c>
      <c r="K72" s="166">
        <f t="shared" si="42"/>
        <v>659.25</v>
      </c>
      <c r="L72" s="167">
        <f t="shared" si="43"/>
        <v>4635</v>
      </c>
      <c r="M72" s="169">
        <f t="shared" si="39"/>
        <v>0.2111176002216073</v>
      </c>
      <c r="N72" s="167">
        <f t="shared" si="44"/>
        <v>21.4</v>
      </c>
      <c r="O72" s="169">
        <f t="shared" si="38"/>
        <v>0.26838623884514634</v>
      </c>
      <c r="P72" s="167">
        <f t="shared" si="45"/>
        <v>3.72</v>
      </c>
      <c r="Q72" s="168">
        <f t="shared" si="46"/>
        <v>25.119999999999997</v>
      </c>
      <c r="R72" s="168">
        <f t="shared" si="47"/>
        <v>4815</v>
      </c>
      <c r="S72" s="168">
        <f t="shared" si="48"/>
        <v>837</v>
      </c>
      <c r="T72" s="168">
        <f t="shared" si="49"/>
        <v>5652</v>
      </c>
    </row>
    <row r="73" spans="1:20" ht="15.75" thickBot="1" x14ac:dyDescent="0.3">
      <c r="A73" s="1" t="str">
        <f>'Planilha de Composição'!A278</f>
        <v>7.9</v>
      </c>
      <c r="B73" s="1" t="str">
        <f>'Planilha de Composição'!B278</f>
        <v>C.P</v>
      </c>
      <c r="C73" s="1">
        <f>'Planilha de Composição'!C278</f>
        <v>0</v>
      </c>
      <c r="D73" s="348" t="str">
        <f>'Planilha de Composição'!D278</f>
        <v>REMOÇÃO E REINSTALAÇÃO DE LUMINÁRIAS EXISTENTES, INCLUSIVE ELEMENTOS DE SUPORTAÇÃO E INFRAESTRUTURA</v>
      </c>
      <c r="E73" s="1" t="str">
        <f>'Planilha de Composição'!E278</f>
        <v>cj</v>
      </c>
      <c r="F73" s="351">
        <v>1.0000000000000002</v>
      </c>
      <c r="G73" s="3">
        <f>'Planilha de Composição'!H278</f>
        <v>0</v>
      </c>
      <c r="H73" s="3">
        <f>'Planilha de Composição'!I278</f>
        <v>1613.5</v>
      </c>
      <c r="I73" s="117">
        <f t="shared" si="40"/>
        <v>1613.5</v>
      </c>
      <c r="J73" s="166">
        <f t="shared" si="41"/>
        <v>0</v>
      </c>
      <c r="K73" s="166">
        <f t="shared" si="42"/>
        <v>1613.5</v>
      </c>
      <c r="L73" s="167">
        <f t="shared" si="43"/>
        <v>1613.5</v>
      </c>
      <c r="M73" s="169">
        <f t="shared" si="39"/>
        <v>0.2111176002216073</v>
      </c>
      <c r="N73" s="167">
        <f t="shared" si="44"/>
        <v>0</v>
      </c>
      <c r="O73" s="169">
        <f t="shared" si="38"/>
        <v>0.26838623884514634</v>
      </c>
      <c r="P73" s="167">
        <f t="shared" si="45"/>
        <v>2046.54</v>
      </c>
      <c r="Q73" s="168">
        <f t="shared" si="46"/>
        <v>2046.54</v>
      </c>
      <c r="R73" s="168">
        <f t="shared" si="47"/>
        <v>0</v>
      </c>
      <c r="S73" s="168">
        <f t="shared" si="48"/>
        <v>2046.54</v>
      </c>
      <c r="T73" s="168">
        <f t="shared" si="49"/>
        <v>2046.54</v>
      </c>
    </row>
    <row r="74" spans="1:20" ht="15.75" thickBot="1" x14ac:dyDescent="0.3">
      <c r="A74" s="55">
        <f>'Planilha de Composição'!A281</f>
        <v>8</v>
      </c>
      <c r="B74" s="50"/>
      <c r="C74" s="51"/>
      <c r="D74" s="349" t="str">
        <f>'Planilha de Composição'!D281</f>
        <v>Obras Civis</v>
      </c>
      <c r="E74" s="61"/>
      <c r="F74" s="61"/>
      <c r="G74" s="62"/>
      <c r="H74" s="62"/>
      <c r="I74" s="62"/>
      <c r="J74" s="62">
        <f>SUM(J75:J89)</f>
        <v>11364.65</v>
      </c>
      <c r="K74" s="62">
        <f>SUM(K75:K89)</f>
        <v>7823.5700000000006</v>
      </c>
      <c r="L74" s="62">
        <f>SUM(L75:L89)</f>
        <v>19188.22</v>
      </c>
      <c r="M74" s="75">
        <f>$L$2</f>
        <v>0.2111176002216073</v>
      </c>
      <c r="N74" s="70"/>
      <c r="O74" s="75">
        <f>$K$2</f>
        <v>0.26838623884514634</v>
      </c>
      <c r="P74" s="70"/>
      <c r="Q74" s="62"/>
      <c r="R74" s="62">
        <f>SUM(R75:R89)</f>
        <v>13763.960000000001</v>
      </c>
      <c r="S74" s="62">
        <f>SUM(S75:S89)</f>
        <v>9923.69</v>
      </c>
      <c r="T74" s="62">
        <f>SUM(T75:T89)</f>
        <v>23687.649999999998</v>
      </c>
    </row>
    <row r="75" spans="1:20" ht="15.75" thickBot="1" x14ac:dyDescent="0.3">
      <c r="A75" s="1" t="str">
        <f>'Planilha de Composição'!A282</f>
        <v>8.1</v>
      </c>
      <c r="B75" s="1" t="str">
        <f>'Planilha de Composição'!B282</f>
        <v>SINAPI</v>
      </c>
      <c r="C75" s="1">
        <f>'Planilha de Composição'!C282</f>
        <v>97096</v>
      </c>
      <c r="D75" s="348" t="str">
        <f>'Planilha de Composição'!D282</f>
        <v>CONCRETAGEM DE CANALETA DE CONCRETO, BASE DE SUPORTAÇÃO E NIVELAMENTO DAS UNIDADES CONDENSADORAS E RECOMPOSIÇÃO DE CALÇADA, NAS ÁREAS AFETADAS PELA OBRA</v>
      </c>
      <c r="E75" s="1" t="str">
        <f>'Planilha de Composição'!E282</f>
        <v>m³</v>
      </c>
      <c r="F75" s="351">
        <v>2.5</v>
      </c>
      <c r="G75" s="3">
        <f>'Planilha de Composição'!H282</f>
        <v>523.4</v>
      </c>
      <c r="H75" s="3">
        <f>'Planilha de Composição'!I282</f>
        <v>22.46</v>
      </c>
      <c r="I75" s="117">
        <f t="shared" ref="I75:I89" si="50">H75+G75</f>
        <v>545.86</v>
      </c>
      <c r="J75" s="166">
        <f t="shared" ref="J75:J89" si="51">ROUND(G75*$F75,2)</f>
        <v>1308.5</v>
      </c>
      <c r="K75" s="166">
        <f t="shared" ref="K75:K89" si="52">ROUND(H75*$F75,2)</f>
        <v>56.15</v>
      </c>
      <c r="L75" s="167">
        <f t="shared" ref="L75:L89" si="53">K75+J75</f>
        <v>1364.65</v>
      </c>
      <c r="M75" s="169">
        <f t="shared" ref="M75:M89" si="54">$L$2</f>
        <v>0.2111176002216073</v>
      </c>
      <c r="N75" s="167">
        <f t="shared" ref="N75:N89" si="55">ROUND(G75*(1+$M75),2)</f>
        <v>633.9</v>
      </c>
      <c r="O75" s="169">
        <f t="shared" si="38"/>
        <v>0.26838623884514634</v>
      </c>
      <c r="P75" s="167">
        <f t="shared" ref="P75:P89" si="56">ROUND(H75*(1+$O75),2)</f>
        <v>28.49</v>
      </c>
      <c r="Q75" s="168">
        <f t="shared" ref="Q75:Q89" si="57">P75+N75</f>
        <v>662.39</v>
      </c>
      <c r="R75" s="168">
        <f t="shared" ref="R75:R89" si="58">ROUND(N75*$F75,2)</f>
        <v>1584.75</v>
      </c>
      <c r="S75" s="168">
        <f t="shared" ref="S75:S89" si="59">ROUND(P75*$F75,2)</f>
        <v>71.23</v>
      </c>
      <c r="T75" s="168">
        <f t="shared" ref="T75:T89" si="60">S75+R75</f>
        <v>1655.98</v>
      </c>
    </row>
    <row r="76" spans="1:20" ht="15.75" thickBot="1" x14ac:dyDescent="0.3">
      <c r="A76" s="1" t="str">
        <f>'Planilha de Composição'!A288</f>
        <v>8.2</v>
      </c>
      <c r="B76" s="1" t="str">
        <f>'Planilha de Composição'!B288</f>
        <v>SINAPI</v>
      </c>
      <c r="C76" s="1">
        <f>'Planilha de Composição'!C288</f>
        <v>92265</v>
      </c>
      <c r="D76" s="348" t="str">
        <f>'Planilha de Composição'!D288</f>
        <v>FABRICAÇÃO DE FÔRMA PARA ESTRUTURAS EM CONCRETO ARMADO, EM CHAPA DE MADEIRA COMPENSADA RESINADA, E = 17 MM, PARA BASES DE CONCRETO</v>
      </c>
      <c r="E76" s="1" t="str">
        <f>'Planilha de Composição'!E288</f>
        <v>m²</v>
      </c>
      <c r="F76" s="351">
        <v>12.5</v>
      </c>
      <c r="G76" s="3">
        <f>'Planilha de Composição'!H288</f>
        <v>76.899999999999991</v>
      </c>
      <c r="H76" s="3">
        <f>'Planilha de Composição'!I288</f>
        <v>31.79</v>
      </c>
      <c r="I76" s="117">
        <f t="shared" si="50"/>
        <v>108.69</v>
      </c>
      <c r="J76" s="166">
        <f t="shared" si="51"/>
        <v>961.25</v>
      </c>
      <c r="K76" s="166">
        <f t="shared" si="52"/>
        <v>397.38</v>
      </c>
      <c r="L76" s="167">
        <f t="shared" si="53"/>
        <v>1358.63</v>
      </c>
      <c r="M76" s="169">
        <f t="shared" si="54"/>
        <v>0.2111176002216073</v>
      </c>
      <c r="N76" s="167">
        <f t="shared" si="55"/>
        <v>93.13</v>
      </c>
      <c r="O76" s="169">
        <f t="shared" si="38"/>
        <v>0.26838623884514634</v>
      </c>
      <c r="P76" s="167">
        <f t="shared" si="56"/>
        <v>40.32</v>
      </c>
      <c r="Q76" s="168">
        <f t="shared" si="57"/>
        <v>133.44999999999999</v>
      </c>
      <c r="R76" s="168">
        <f t="shared" si="58"/>
        <v>1164.1300000000001</v>
      </c>
      <c r="S76" s="168">
        <f t="shared" si="59"/>
        <v>504</v>
      </c>
      <c r="T76" s="168">
        <f t="shared" si="60"/>
        <v>1668.13</v>
      </c>
    </row>
    <row r="77" spans="1:20" ht="15.75" thickBot="1" x14ac:dyDescent="0.3">
      <c r="A77" s="1" t="str">
        <f>'Planilha de Composição'!A297</f>
        <v>8.3</v>
      </c>
      <c r="B77" s="1" t="str">
        <f>'Planilha de Composição'!B297</f>
        <v>SINAPI</v>
      </c>
      <c r="C77" s="1">
        <f>'Planilha de Composição'!C297</f>
        <v>92772</v>
      </c>
      <c r="D77" s="348" t="str">
        <f>'Planilha de Composição'!D297</f>
        <v>ARMAÇÃO DAS BASES DE NIVELAMENTO E VALAS DE PASSSAGEM UTILIZANDO AÇO CA-50 DE 12,5MM, PARA ARMAÇÃO DAS BASES DE CONCRETO</v>
      </c>
      <c r="E77" s="1" t="str">
        <f>'Planilha de Composição'!E297</f>
        <v>kg</v>
      </c>
      <c r="F77" s="351">
        <v>90</v>
      </c>
      <c r="G77" s="3">
        <f>'Planilha de Composição'!H297</f>
        <v>7.9700000000000006</v>
      </c>
      <c r="H77" s="3">
        <f>'Planilha de Composição'!I297</f>
        <v>0.47</v>
      </c>
      <c r="I77" s="117">
        <f>H77+G77</f>
        <v>8.4400000000000013</v>
      </c>
      <c r="J77" s="166">
        <f>ROUND(G77*$F77,2)</f>
        <v>717.3</v>
      </c>
      <c r="K77" s="166">
        <f>ROUND(H77*$F77,2)</f>
        <v>42.3</v>
      </c>
      <c r="L77" s="167">
        <f>K77+J77</f>
        <v>759.59999999999991</v>
      </c>
      <c r="M77" s="169">
        <f t="shared" si="54"/>
        <v>0.2111176002216073</v>
      </c>
      <c r="N77" s="167">
        <f>ROUND(G77*(1+$M77),2)</f>
        <v>9.65</v>
      </c>
      <c r="O77" s="169">
        <f t="shared" si="38"/>
        <v>0.26838623884514634</v>
      </c>
      <c r="P77" s="167">
        <f>ROUND(H77*(1+$O77),2)</f>
        <v>0.6</v>
      </c>
      <c r="Q77" s="168">
        <f>P77+N77</f>
        <v>10.25</v>
      </c>
      <c r="R77" s="168">
        <f>ROUND(N77*$F77,2)</f>
        <v>868.5</v>
      </c>
      <c r="S77" s="168">
        <f>ROUND(P77*$F77,2)</f>
        <v>54</v>
      </c>
      <c r="T77" s="168">
        <f>S77+R77</f>
        <v>922.5</v>
      </c>
    </row>
    <row r="78" spans="1:20" ht="15.75" thickBot="1" x14ac:dyDescent="0.3">
      <c r="A78" s="1" t="str">
        <f>'Planilha de Composição'!A303</f>
        <v>8.4</v>
      </c>
      <c r="B78" s="1" t="str">
        <f>'Planilha de Composição'!B303</f>
        <v>C.P</v>
      </c>
      <c r="C78" s="1">
        <f>'Planilha de Composição'!C303</f>
        <v>0</v>
      </c>
      <c r="D78" s="348" t="str">
        <f>'Planilha de Composição'!D303</f>
        <v>FURAÇÃO/ABERTURA EM ALVENARIA PARA PASSAGEM DA INFRAESTRUTURA ELETROMECÂNICA/TOMADAS DE AR EXTERNO</v>
      </c>
      <c r="E78" s="1" t="str">
        <f>'Planilha de Composição'!E303</f>
        <v>m²</v>
      </c>
      <c r="F78" s="351">
        <v>3</v>
      </c>
      <c r="G78" s="3">
        <f>'Planilha de Composição'!H303</f>
        <v>0</v>
      </c>
      <c r="H78" s="3">
        <f>'Planilha de Composição'!I303</f>
        <v>41.76</v>
      </c>
      <c r="I78" s="117">
        <f t="shared" si="50"/>
        <v>41.76</v>
      </c>
      <c r="J78" s="166">
        <f t="shared" si="51"/>
        <v>0</v>
      </c>
      <c r="K78" s="166">
        <f t="shared" si="52"/>
        <v>125.28</v>
      </c>
      <c r="L78" s="167">
        <f t="shared" si="53"/>
        <v>125.28</v>
      </c>
      <c r="M78" s="169">
        <f t="shared" si="54"/>
        <v>0.2111176002216073</v>
      </c>
      <c r="N78" s="167">
        <f t="shared" si="55"/>
        <v>0</v>
      </c>
      <c r="O78" s="169">
        <f t="shared" si="38"/>
        <v>0.26838623884514634</v>
      </c>
      <c r="P78" s="167">
        <f t="shared" si="56"/>
        <v>52.97</v>
      </c>
      <c r="Q78" s="168">
        <f t="shared" si="57"/>
        <v>52.97</v>
      </c>
      <c r="R78" s="168">
        <f t="shared" si="58"/>
        <v>0</v>
      </c>
      <c r="S78" s="168">
        <f t="shared" si="59"/>
        <v>158.91</v>
      </c>
      <c r="T78" s="168">
        <f t="shared" si="60"/>
        <v>158.91</v>
      </c>
    </row>
    <row r="79" spans="1:20" ht="15.75" thickBot="1" x14ac:dyDescent="0.3">
      <c r="A79" s="1" t="str">
        <f>'Planilha de Composição'!A306</f>
        <v>8.5</v>
      </c>
      <c r="B79" s="1" t="str">
        <f>'Planilha de Composição'!B306</f>
        <v>SINAPI</v>
      </c>
      <c r="C79" s="1">
        <f>'Planilha de Composição'!C306</f>
        <v>91222</v>
      </c>
      <c r="D79" s="348" t="str">
        <f>'Planilha de Composição'!D306</f>
        <v>RASGO EM ALVENARIA, PARA INSTALAÇÃO DAS CAIXAS DE LIGAÇÃO DAS UNIDADES EVAPORADORAS</v>
      </c>
      <c r="E79" s="1" t="str">
        <f>'Planilha de Composição'!E306</f>
        <v>m</v>
      </c>
      <c r="F79" s="351">
        <v>10</v>
      </c>
      <c r="G79" s="3">
        <f>'Planilha de Composição'!H306</f>
        <v>0</v>
      </c>
      <c r="H79" s="3">
        <f>'Planilha de Composição'!I306</f>
        <v>17.57</v>
      </c>
      <c r="I79" s="117">
        <f t="shared" si="50"/>
        <v>17.57</v>
      </c>
      <c r="J79" s="166">
        <f t="shared" si="51"/>
        <v>0</v>
      </c>
      <c r="K79" s="166">
        <f t="shared" si="52"/>
        <v>175.7</v>
      </c>
      <c r="L79" s="167">
        <f t="shared" si="53"/>
        <v>175.7</v>
      </c>
      <c r="M79" s="169">
        <f t="shared" si="54"/>
        <v>0.2111176002216073</v>
      </c>
      <c r="N79" s="167">
        <f t="shared" si="55"/>
        <v>0</v>
      </c>
      <c r="O79" s="169">
        <f t="shared" si="38"/>
        <v>0.26838623884514634</v>
      </c>
      <c r="P79" s="167">
        <f t="shared" si="56"/>
        <v>22.29</v>
      </c>
      <c r="Q79" s="168">
        <f t="shared" si="57"/>
        <v>22.29</v>
      </c>
      <c r="R79" s="168">
        <f t="shared" si="58"/>
        <v>0</v>
      </c>
      <c r="S79" s="168">
        <f t="shared" si="59"/>
        <v>222.9</v>
      </c>
      <c r="T79" s="168">
        <f t="shared" si="60"/>
        <v>222.9</v>
      </c>
    </row>
    <row r="80" spans="1:20" ht="26.25" thickBot="1" x14ac:dyDescent="0.3">
      <c r="A80" s="383" t="str">
        <f>'Planilha de Composição'!A309</f>
        <v>8.6</v>
      </c>
      <c r="B80" s="383" t="str">
        <f>'Planilha de Composição'!B309</f>
        <v>C.P</v>
      </c>
      <c r="C80" s="383">
        <f>'Planilha de Composição'!C309</f>
        <v>0</v>
      </c>
      <c r="D80" s="384" t="str">
        <f>'Planilha de Composição'!D309</f>
        <v>ESCAVAÇÃO MANUAL DE SOLO PARA IMPLANTAÇÃO DA CANALETA DE CONCRETO E BASE DE SUPORTAÇÃO E NIVELAMENTO DAS UNIDADES CONDENSADORAS, INCLUSIVE FORNECIMENTO E PLANTIO DE FORRAÇÃO NAS ÁREAS AFETADAS</v>
      </c>
      <c r="E80" s="383" t="str">
        <f>'Planilha de Composição'!E309</f>
        <v>m²</v>
      </c>
      <c r="F80" s="351">
        <v>12</v>
      </c>
      <c r="G80" s="385">
        <f>'Planilha de Composição'!H309</f>
        <v>26</v>
      </c>
      <c r="H80" s="385">
        <f>'Planilha de Composição'!I309</f>
        <v>69.180000000000007</v>
      </c>
      <c r="I80" s="386">
        <f>H80+G80</f>
        <v>95.18</v>
      </c>
      <c r="J80" s="166">
        <f>ROUND(G80*$F80,2)</f>
        <v>312</v>
      </c>
      <c r="K80" s="166">
        <f>ROUND(H80*$F80,2)</f>
        <v>830.16</v>
      </c>
      <c r="L80" s="167">
        <f>K80+J80</f>
        <v>1142.1599999999999</v>
      </c>
      <c r="M80" s="169">
        <f t="shared" si="54"/>
        <v>0.2111176002216073</v>
      </c>
      <c r="N80" s="167">
        <f>ROUND(G80*(1+$M80),2)</f>
        <v>31.49</v>
      </c>
      <c r="O80" s="169">
        <f t="shared" si="38"/>
        <v>0.26838623884514634</v>
      </c>
      <c r="P80" s="167">
        <f>ROUND(H80*(1+$O80),2)</f>
        <v>87.75</v>
      </c>
      <c r="Q80" s="168">
        <f>P80+N80</f>
        <v>119.24</v>
      </c>
      <c r="R80" s="168">
        <f>ROUND(N80*$F80,2)</f>
        <v>377.88</v>
      </c>
      <c r="S80" s="168">
        <f>ROUND(P80*$F80,2)</f>
        <v>1053</v>
      </c>
      <c r="T80" s="168">
        <f>S80+R80</f>
        <v>1430.88</v>
      </c>
    </row>
    <row r="81" spans="1:20" ht="15.75" thickBot="1" x14ac:dyDescent="0.3">
      <c r="A81" s="1" t="str">
        <f>'Planilha de Composição'!A312</f>
        <v>8.7</v>
      </c>
      <c r="B81" s="1" t="str">
        <f>'Planilha de Composição'!B312</f>
        <v>C.P</v>
      </c>
      <c r="C81" s="1">
        <f>'Planilha de Composição'!C312</f>
        <v>0</v>
      </c>
      <c r="D81" s="348" t="str">
        <f>'Planilha de Composição'!D312</f>
        <v>REDE DE DRENAGEM EM PVC MARROM COM ISOLAMENTO EM BORRACHA ELASTOMÉRICA, INCLUINDO CONEXÕES E ACESSÓRIOS, DN. 1" (Rede de Drenagem)</v>
      </c>
      <c r="E81" s="1" t="str">
        <f>'Planilha de Composição'!E312</f>
        <v>m</v>
      </c>
      <c r="F81" s="351">
        <v>75</v>
      </c>
      <c r="G81" s="3">
        <f>'Planilha de Composição'!H312</f>
        <v>9.4700000000000006</v>
      </c>
      <c r="H81" s="3">
        <f>'Planilha de Composição'!I312</f>
        <v>10.6</v>
      </c>
      <c r="I81" s="117">
        <f t="shared" si="50"/>
        <v>20.07</v>
      </c>
      <c r="J81" s="166">
        <f t="shared" si="51"/>
        <v>710.25</v>
      </c>
      <c r="K81" s="166">
        <f t="shared" si="52"/>
        <v>795</v>
      </c>
      <c r="L81" s="167">
        <f t="shared" si="53"/>
        <v>1505.25</v>
      </c>
      <c r="M81" s="169">
        <f t="shared" si="54"/>
        <v>0.2111176002216073</v>
      </c>
      <c r="N81" s="167">
        <f t="shared" si="55"/>
        <v>11.47</v>
      </c>
      <c r="O81" s="169">
        <f t="shared" si="38"/>
        <v>0.26838623884514634</v>
      </c>
      <c r="P81" s="167">
        <f t="shared" si="56"/>
        <v>13.44</v>
      </c>
      <c r="Q81" s="168">
        <f t="shared" si="57"/>
        <v>24.91</v>
      </c>
      <c r="R81" s="168">
        <f t="shared" si="58"/>
        <v>860.25</v>
      </c>
      <c r="S81" s="168">
        <f t="shared" si="59"/>
        <v>1008</v>
      </c>
      <c r="T81" s="168">
        <f t="shared" si="60"/>
        <v>1868.25</v>
      </c>
    </row>
    <row r="82" spans="1:20" ht="27" thickBot="1" x14ac:dyDescent="0.3">
      <c r="A82" s="1" t="str">
        <f>'Planilha de Composição'!A316</f>
        <v>8.8</v>
      </c>
      <c r="B82" s="1" t="str">
        <f>'Planilha de Composição'!B316</f>
        <v>SINAPI</v>
      </c>
      <c r="C82" s="1">
        <f>'Planilha de Composição'!C316</f>
        <v>87561</v>
      </c>
      <c r="D82" s="348" t="str">
        <f>'Planilha de Composição'!D316</f>
        <v>MASSA ÚNICA, PARA RECEBIMENTO DE PINTURA OU CERÂMICA, EM ARGAMASSA INDUSTRIALIZADA, PREPARO MECÂNICO, APLICADO COM EQUIPAMENTO DE MISTURA E PROJEÇÃO DE 1,5 M3/H DE ARGAMASSA EM FACES INTERNAS DE PAREDES, #10MM, PARA RECOMPOSIÇÃO/ACABAMENTO DAS ÁREAS DE ABERTURA E REMOÇÃO DE EQUIPAMENTOS EXISTENTES</v>
      </c>
      <c r="E82" s="1" t="str">
        <f>'Planilha de Composição'!E316</f>
        <v>m²</v>
      </c>
      <c r="F82" s="351">
        <v>5</v>
      </c>
      <c r="G82" s="3">
        <f>'Planilha de Composição'!H316</f>
        <v>34.92</v>
      </c>
      <c r="H82" s="3">
        <f>'Planilha de Composição'!I316</f>
        <v>9.07</v>
      </c>
      <c r="I82" s="117">
        <f t="shared" si="50"/>
        <v>43.99</v>
      </c>
      <c r="J82" s="166">
        <f t="shared" si="51"/>
        <v>174.6</v>
      </c>
      <c r="K82" s="166">
        <f t="shared" si="52"/>
        <v>45.35</v>
      </c>
      <c r="L82" s="167">
        <f t="shared" si="53"/>
        <v>219.95</v>
      </c>
      <c r="M82" s="169">
        <f t="shared" si="54"/>
        <v>0.2111176002216073</v>
      </c>
      <c r="N82" s="167">
        <f t="shared" si="55"/>
        <v>42.29</v>
      </c>
      <c r="O82" s="169">
        <f t="shared" si="38"/>
        <v>0.26838623884514634</v>
      </c>
      <c r="P82" s="167">
        <f t="shared" si="56"/>
        <v>11.5</v>
      </c>
      <c r="Q82" s="168">
        <f t="shared" si="57"/>
        <v>53.79</v>
      </c>
      <c r="R82" s="168">
        <f t="shared" si="58"/>
        <v>211.45</v>
      </c>
      <c r="S82" s="168">
        <f t="shared" si="59"/>
        <v>57.5</v>
      </c>
      <c r="T82" s="168">
        <f t="shared" si="60"/>
        <v>268.95</v>
      </c>
    </row>
    <row r="83" spans="1:20" ht="15.75" thickBot="1" x14ac:dyDescent="0.3">
      <c r="A83" s="1" t="str">
        <f>'Planilha de Composição'!A320</f>
        <v>8.9</v>
      </c>
      <c r="B83" s="1" t="str">
        <f>'Planilha de Composição'!B320</f>
        <v>SINAPI</v>
      </c>
      <c r="C83" s="1">
        <f>'Planilha de Composição'!C320</f>
        <v>88485</v>
      </c>
      <c r="D83" s="348" t="str">
        <f>'Planilha de Composição'!D320</f>
        <v>APLICAÇÃO DE FUNDO SELADOR ACRÍLICO EM PAREDES E TETO, UMA DEMÃO, PARA ACABAMENTO DAS ÁREAS RECONSTITUÍDAS</v>
      </c>
      <c r="E83" s="1" t="str">
        <f>'Planilha de Composição'!E320</f>
        <v>m²</v>
      </c>
      <c r="F83" s="351">
        <v>150</v>
      </c>
      <c r="G83" s="3">
        <f>'Planilha de Composição'!H320</f>
        <v>1.84</v>
      </c>
      <c r="H83" s="3">
        <f>'Planilha de Composição'!I320</f>
        <v>1.6099999999999999</v>
      </c>
      <c r="I83" s="117">
        <f t="shared" si="50"/>
        <v>3.45</v>
      </c>
      <c r="J83" s="166">
        <f t="shared" si="51"/>
        <v>276</v>
      </c>
      <c r="K83" s="166">
        <f t="shared" si="52"/>
        <v>241.5</v>
      </c>
      <c r="L83" s="167">
        <f t="shared" si="53"/>
        <v>517.5</v>
      </c>
      <c r="M83" s="169">
        <f t="shared" si="54"/>
        <v>0.2111176002216073</v>
      </c>
      <c r="N83" s="167">
        <f t="shared" si="55"/>
        <v>2.23</v>
      </c>
      <c r="O83" s="169">
        <f t="shared" si="38"/>
        <v>0.26838623884514634</v>
      </c>
      <c r="P83" s="167">
        <f t="shared" si="56"/>
        <v>2.04</v>
      </c>
      <c r="Q83" s="168">
        <f t="shared" si="57"/>
        <v>4.2699999999999996</v>
      </c>
      <c r="R83" s="168">
        <f t="shared" si="58"/>
        <v>334.5</v>
      </c>
      <c r="S83" s="168">
        <f t="shared" si="59"/>
        <v>306</v>
      </c>
      <c r="T83" s="168">
        <f t="shared" si="60"/>
        <v>640.5</v>
      </c>
    </row>
    <row r="84" spans="1:20" ht="15.75" thickBot="1" x14ac:dyDescent="0.3">
      <c r="A84" s="1" t="str">
        <f>'Planilha de Composição'!A324</f>
        <v>8.10</v>
      </c>
      <c r="B84" s="1" t="str">
        <f>'Planilha de Composição'!B324</f>
        <v>SINAPI</v>
      </c>
      <c r="C84" s="1">
        <f>'Planilha de Composição'!C324</f>
        <v>88489</v>
      </c>
      <c r="D84" s="348" t="str">
        <f>'Planilha de Composição'!D324</f>
        <v>APLICAÇÃO MANUAL DE PINTURA COM TINTA LÁTEX ACRÍLICA EM PAREDES E TETO, DUAS DEMÃOS, PARA ACABAMENTO DAS ÁREAS RECONSTITUÍDAS</v>
      </c>
      <c r="E84" s="1" t="str">
        <f>'Planilha de Composição'!E324</f>
        <v>m²</v>
      </c>
      <c r="F84" s="351">
        <v>150</v>
      </c>
      <c r="G84" s="3">
        <f>'Planilha de Composição'!H324</f>
        <v>10.14</v>
      </c>
      <c r="H84" s="3">
        <f>'Planilha de Composição'!I324</f>
        <v>7.79</v>
      </c>
      <c r="I84" s="117">
        <f t="shared" si="50"/>
        <v>17.93</v>
      </c>
      <c r="J84" s="166">
        <f t="shared" si="51"/>
        <v>1521</v>
      </c>
      <c r="K84" s="166">
        <f t="shared" si="52"/>
        <v>1168.5</v>
      </c>
      <c r="L84" s="167">
        <f t="shared" si="53"/>
        <v>2689.5</v>
      </c>
      <c r="M84" s="169">
        <f t="shared" si="54"/>
        <v>0.2111176002216073</v>
      </c>
      <c r="N84" s="167">
        <f t="shared" si="55"/>
        <v>12.28</v>
      </c>
      <c r="O84" s="169">
        <f t="shared" si="38"/>
        <v>0.26838623884514634</v>
      </c>
      <c r="P84" s="167">
        <f t="shared" si="56"/>
        <v>9.8800000000000008</v>
      </c>
      <c r="Q84" s="168">
        <f t="shared" si="57"/>
        <v>22.16</v>
      </c>
      <c r="R84" s="168">
        <f t="shared" si="58"/>
        <v>1842</v>
      </c>
      <c r="S84" s="168">
        <f t="shared" si="59"/>
        <v>1482</v>
      </c>
      <c r="T84" s="168">
        <f t="shared" si="60"/>
        <v>3324</v>
      </c>
    </row>
    <row r="85" spans="1:20" ht="15.75" thickBot="1" x14ac:dyDescent="0.3">
      <c r="A85" s="1" t="str">
        <f>'Planilha de Composição'!A328</f>
        <v>8.11</v>
      </c>
      <c r="B85" s="1" t="str">
        <f>'Planilha de Composição'!B328</f>
        <v>SINAPI</v>
      </c>
      <c r="C85" s="1">
        <f>'Planilha de Composição'!C328</f>
        <v>97641</v>
      </c>
      <c r="D85" s="348" t="str">
        <f>'Planilha de Composição'!D328</f>
        <v>REMOÇÃO DE FORRO DE GESSO, DE FORMA MANUAL, SEM REAPROVEITAMENTO. AF_09/2023</v>
      </c>
      <c r="E85" s="1" t="str">
        <f>'Planilha de Composição'!E328</f>
        <v>m²</v>
      </c>
      <c r="F85" s="351">
        <v>145</v>
      </c>
      <c r="G85" s="3">
        <f>'Planilha de Composição'!H328</f>
        <v>0</v>
      </c>
      <c r="H85" s="3">
        <f>'Planilha de Composição'!I328</f>
        <v>3.38</v>
      </c>
      <c r="I85" s="117">
        <f t="shared" si="50"/>
        <v>3.38</v>
      </c>
      <c r="J85" s="166">
        <f t="shared" si="51"/>
        <v>0</v>
      </c>
      <c r="K85" s="166">
        <f t="shared" si="52"/>
        <v>490.1</v>
      </c>
      <c r="L85" s="167">
        <f t="shared" si="53"/>
        <v>490.1</v>
      </c>
      <c r="M85" s="169">
        <f t="shared" si="54"/>
        <v>0.2111176002216073</v>
      </c>
      <c r="N85" s="167">
        <f t="shared" si="55"/>
        <v>0</v>
      </c>
      <c r="O85" s="169">
        <f t="shared" si="38"/>
        <v>0.26838623884514634</v>
      </c>
      <c r="P85" s="167">
        <f t="shared" si="56"/>
        <v>4.29</v>
      </c>
      <c r="Q85" s="168">
        <f t="shared" si="57"/>
        <v>4.29</v>
      </c>
      <c r="R85" s="168">
        <f t="shared" si="58"/>
        <v>0</v>
      </c>
      <c r="S85" s="168">
        <f t="shared" si="59"/>
        <v>622.04999999999995</v>
      </c>
      <c r="T85" s="168">
        <f t="shared" si="60"/>
        <v>622.04999999999995</v>
      </c>
    </row>
    <row r="86" spans="1:20" ht="15.75" thickBot="1" x14ac:dyDescent="0.3">
      <c r="A86" s="1" t="str">
        <f>'Planilha de Composição'!A331</f>
        <v>8.12</v>
      </c>
      <c r="B86" s="1" t="str">
        <f>'Planilha de Composição'!B331</f>
        <v>SINAPI</v>
      </c>
      <c r="C86" s="1">
        <f>'Planilha de Composição'!C331</f>
        <v>96113</v>
      </c>
      <c r="D86" s="348" t="str">
        <f>'Planilha de Composição'!D331</f>
        <v xml:space="preserve">FORNECIMENTO E INSTALAÇÃO DE FORRO EM PLACAS DE GESSO, COM PINTURA ANTIMOFO, APOIADO EM PERFIS DE AÇO GALVANIZADO, PARA RECONSTITUIÇÃO DAS ÁREAS AFETADAS PELA OBRA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86" s="1" t="str">
        <f>'Planilha de Composição'!E331</f>
        <v>m²</v>
      </c>
      <c r="F86" s="351">
        <v>145</v>
      </c>
      <c r="G86" s="3">
        <f>'Planilha de Composição'!H331</f>
        <v>33.909999999999997</v>
      </c>
      <c r="H86" s="3">
        <f>'Planilha de Composição'!I331</f>
        <v>14.53</v>
      </c>
      <c r="I86" s="117">
        <f t="shared" si="50"/>
        <v>48.44</v>
      </c>
      <c r="J86" s="166">
        <f t="shared" si="51"/>
        <v>4916.95</v>
      </c>
      <c r="K86" s="166">
        <f t="shared" si="52"/>
        <v>2106.85</v>
      </c>
      <c r="L86" s="167">
        <f t="shared" si="53"/>
        <v>7023.7999999999993</v>
      </c>
      <c r="M86" s="169">
        <f t="shared" si="54"/>
        <v>0.2111176002216073</v>
      </c>
      <c r="N86" s="167">
        <f t="shared" si="55"/>
        <v>41.07</v>
      </c>
      <c r="O86" s="169">
        <f t="shared" si="38"/>
        <v>0.26838623884514634</v>
      </c>
      <c r="P86" s="167">
        <f t="shared" si="56"/>
        <v>18.43</v>
      </c>
      <c r="Q86" s="168">
        <f t="shared" si="57"/>
        <v>59.5</v>
      </c>
      <c r="R86" s="168">
        <f t="shared" si="58"/>
        <v>5955.15</v>
      </c>
      <c r="S86" s="168">
        <f t="shared" si="59"/>
        <v>2672.35</v>
      </c>
      <c r="T86" s="168">
        <f t="shared" si="60"/>
        <v>8627.5</v>
      </c>
    </row>
    <row r="87" spans="1:20" ht="15.75" thickBot="1" x14ac:dyDescent="0.3">
      <c r="A87" s="1" t="str">
        <f>'Planilha de Composição'!A333</f>
        <v>8.13</v>
      </c>
      <c r="B87" s="1" t="str">
        <f>'Planilha de Composição'!B333</f>
        <v>SINAPI</v>
      </c>
      <c r="C87" s="1">
        <f>'Planilha de Composição'!C333</f>
        <v>97064</v>
      </c>
      <c r="D87" s="348" t="str">
        <f>'Planilha de Composição'!D333</f>
        <v xml:space="preserve">MONTAGEM E DESMONTAGEM DE ANDAIME TIPO TORRE </v>
      </c>
      <c r="E87" s="1" t="str">
        <f>'Planilha de Composição'!E333</f>
        <v>m</v>
      </c>
      <c r="F87" s="351">
        <v>45</v>
      </c>
      <c r="G87" s="3">
        <f>'Planilha de Composição'!H333</f>
        <v>0</v>
      </c>
      <c r="H87" s="3">
        <f>'Planilha de Composição'!I333</f>
        <v>21.36</v>
      </c>
      <c r="I87" s="117">
        <f t="shared" si="50"/>
        <v>21.36</v>
      </c>
      <c r="J87" s="166">
        <f t="shared" si="51"/>
        <v>0</v>
      </c>
      <c r="K87" s="166">
        <f t="shared" si="52"/>
        <v>961.2</v>
      </c>
      <c r="L87" s="167">
        <f t="shared" si="53"/>
        <v>961.2</v>
      </c>
      <c r="M87" s="169">
        <f t="shared" si="54"/>
        <v>0.2111176002216073</v>
      </c>
      <c r="N87" s="167">
        <f t="shared" si="55"/>
        <v>0</v>
      </c>
      <c r="O87" s="169">
        <f t="shared" si="38"/>
        <v>0.26838623884514634</v>
      </c>
      <c r="P87" s="167">
        <f t="shared" si="56"/>
        <v>27.09</v>
      </c>
      <c r="Q87" s="168">
        <f t="shared" si="57"/>
        <v>27.09</v>
      </c>
      <c r="R87" s="168">
        <f t="shared" si="58"/>
        <v>0</v>
      </c>
      <c r="S87" s="168">
        <f t="shared" si="59"/>
        <v>1219.05</v>
      </c>
      <c r="T87" s="168">
        <f t="shared" si="60"/>
        <v>1219.05</v>
      </c>
    </row>
    <row r="88" spans="1:20" ht="27" thickBot="1" x14ac:dyDescent="0.3">
      <c r="A88" s="1" t="str">
        <f>'Planilha de Composição'!A337</f>
        <v>8.14</v>
      </c>
      <c r="B88" s="1" t="str">
        <f>'Planilha de Composição'!B337</f>
        <v>C.P</v>
      </c>
      <c r="C88" s="1">
        <f>'Planilha de Composição'!C337</f>
        <v>0</v>
      </c>
      <c r="D88" s="348" t="str">
        <f>'Planilha de Composição'!D337</f>
        <v>REMOÇÃO E ARMAZENAMENTO DE ENTULHOS DA OBRA COM CAÇAMBA METÁLICA (4,00m³), ABRANGENDO RESÍDUOS METÁLICOS, PLÁSTICOS, MADEIRA, PAPEL CONCRETO, ARGAMASSA, TERRA E/OU ALVENARIA, INCLUSIVE TRANSPORTE AO LOCAL DE DESPEJO/DESTINAÇÃO</v>
      </c>
      <c r="E88" s="1" t="str">
        <f>'Planilha de Composição'!E337</f>
        <v>m³</v>
      </c>
      <c r="F88" s="351">
        <v>5</v>
      </c>
      <c r="G88" s="3">
        <f>'Planilha de Composição'!H337</f>
        <v>93.36</v>
      </c>
      <c r="H88" s="3">
        <f>'Planilha de Composição'!I337</f>
        <v>15.25</v>
      </c>
      <c r="I88" s="117">
        <f t="shared" si="50"/>
        <v>108.61</v>
      </c>
      <c r="J88" s="166">
        <f t="shared" si="51"/>
        <v>466.8</v>
      </c>
      <c r="K88" s="166">
        <f t="shared" si="52"/>
        <v>76.25</v>
      </c>
      <c r="L88" s="167">
        <f t="shared" si="53"/>
        <v>543.04999999999995</v>
      </c>
      <c r="M88" s="169">
        <f t="shared" si="54"/>
        <v>0.2111176002216073</v>
      </c>
      <c r="N88" s="167">
        <f t="shared" si="55"/>
        <v>113.07</v>
      </c>
      <c r="O88" s="169">
        <f t="shared" si="38"/>
        <v>0.26838623884514634</v>
      </c>
      <c r="P88" s="167">
        <f t="shared" si="56"/>
        <v>19.34</v>
      </c>
      <c r="Q88" s="168">
        <f t="shared" si="57"/>
        <v>132.41</v>
      </c>
      <c r="R88" s="168">
        <f t="shared" si="58"/>
        <v>565.35</v>
      </c>
      <c r="S88" s="168">
        <f t="shared" si="59"/>
        <v>96.7</v>
      </c>
      <c r="T88" s="168">
        <f t="shared" si="60"/>
        <v>662.05000000000007</v>
      </c>
    </row>
    <row r="89" spans="1:20" ht="15.75" thickBot="1" x14ac:dyDescent="0.3">
      <c r="A89" s="1" t="str">
        <f>'Planilha de Composição'!A340</f>
        <v>8.15</v>
      </c>
      <c r="B89" s="1" t="str">
        <f>'Planilha de Composição'!B340</f>
        <v>SINAPI</v>
      </c>
      <c r="C89" s="1">
        <f>'Planilha de Composição'!C340</f>
        <v>99802</v>
      </c>
      <c r="D89" s="348" t="str">
        <f>'Planilha de Composição'!D340</f>
        <v>LIMPEZA FINAL DA OBRA ( INCLUSIVE DURANTE A EXECUÇÃO).</v>
      </c>
      <c r="E89" s="1" t="str">
        <f>'Planilha de Composição'!E340</f>
        <v>m²</v>
      </c>
      <c r="F89" s="351">
        <v>495</v>
      </c>
      <c r="G89" s="3">
        <f>'Planilha de Composição'!H340</f>
        <v>0</v>
      </c>
      <c r="H89" s="3">
        <f>'Planilha de Composição'!I340</f>
        <v>0.63</v>
      </c>
      <c r="I89" s="117">
        <f t="shared" si="50"/>
        <v>0.63</v>
      </c>
      <c r="J89" s="166">
        <f t="shared" si="51"/>
        <v>0</v>
      </c>
      <c r="K89" s="166">
        <f t="shared" si="52"/>
        <v>311.85000000000002</v>
      </c>
      <c r="L89" s="167">
        <f t="shared" si="53"/>
        <v>311.85000000000002</v>
      </c>
      <c r="M89" s="169">
        <f t="shared" si="54"/>
        <v>0.2111176002216073</v>
      </c>
      <c r="N89" s="167">
        <f t="shared" si="55"/>
        <v>0</v>
      </c>
      <c r="O89" s="169">
        <f t="shared" si="38"/>
        <v>0.26838623884514634</v>
      </c>
      <c r="P89" s="167">
        <f t="shared" si="56"/>
        <v>0.8</v>
      </c>
      <c r="Q89" s="168">
        <f t="shared" si="57"/>
        <v>0.8</v>
      </c>
      <c r="R89" s="168">
        <f t="shared" si="58"/>
        <v>0</v>
      </c>
      <c r="S89" s="168">
        <f t="shared" si="59"/>
        <v>396</v>
      </c>
      <c r="T89" s="168">
        <f t="shared" si="60"/>
        <v>396</v>
      </c>
    </row>
    <row r="90" spans="1:20" ht="20.25" customHeight="1" x14ac:dyDescent="0.25">
      <c r="A90" s="2"/>
      <c r="B90" s="2"/>
      <c r="C90" s="8"/>
      <c r="D90" s="2"/>
      <c r="E90" s="135" t="s">
        <v>58</v>
      </c>
      <c r="F90" s="136"/>
      <c r="G90" s="136"/>
      <c r="H90" s="136"/>
      <c r="I90" s="152"/>
      <c r="J90" s="137">
        <f>J16</f>
        <v>272508.17000000004</v>
      </c>
      <c r="K90" s="138"/>
      <c r="L90" s="138"/>
      <c r="M90" s="139">
        <f>$L$2</f>
        <v>0.2111176002216073</v>
      </c>
      <c r="N90" s="138"/>
      <c r="O90" s="138"/>
      <c r="P90" s="138"/>
      <c r="Q90" s="138"/>
      <c r="R90" s="138"/>
      <c r="S90" s="138"/>
      <c r="T90" s="140"/>
    </row>
    <row r="91" spans="1:20" ht="20.25" customHeight="1" x14ac:dyDescent="0.25">
      <c r="E91" s="141" t="s">
        <v>59</v>
      </c>
      <c r="F91" s="142"/>
      <c r="G91" s="142"/>
      <c r="H91" s="142"/>
      <c r="I91" s="142"/>
      <c r="J91" s="143">
        <f>J7+J13+J30+J44+J50+J64+J74</f>
        <v>99504.81</v>
      </c>
      <c r="K91" s="144"/>
      <c r="L91" s="144"/>
      <c r="M91" s="145">
        <f>$K$2</f>
        <v>0.26838623884514634</v>
      </c>
      <c r="N91" s="144"/>
      <c r="O91" s="144"/>
      <c r="P91" s="144"/>
      <c r="Q91" s="144"/>
      <c r="R91" s="144"/>
      <c r="S91" s="144"/>
      <c r="T91" s="146"/>
    </row>
    <row r="92" spans="1:20" ht="21" customHeight="1" x14ac:dyDescent="0.25">
      <c r="E92" s="141" t="s">
        <v>60</v>
      </c>
      <c r="F92" s="142"/>
      <c r="G92" s="142"/>
      <c r="H92" s="142"/>
      <c r="I92" s="142"/>
      <c r="J92" s="143"/>
      <c r="K92" s="144">
        <f>K7+K13+K16+K30+K44+K50+K64+K74</f>
        <v>130050.27000000002</v>
      </c>
      <c r="L92" s="144"/>
      <c r="M92" s="145">
        <f>$K$2</f>
        <v>0.26838623884514634</v>
      </c>
      <c r="N92" s="144"/>
      <c r="O92" s="144"/>
      <c r="P92" s="144"/>
      <c r="Q92" s="144"/>
      <c r="R92" s="144"/>
      <c r="S92" s="144"/>
      <c r="T92" s="146"/>
    </row>
    <row r="93" spans="1:20" ht="21" customHeight="1" x14ac:dyDescent="0.25">
      <c r="E93" s="141" t="s">
        <v>68</v>
      </c>
      <c r="F93" s="142"/>
      <c r="G93" s="142"/>
      <c r="H93" s="142"/>
      <c r="I93" s="142"/>
      <c r="J93" s="143"/>
      <c r="K93" s="144"/>
      <c r="L93" s="144"/>
      <c r="M93" s="145"/>
      <c r="N93" s="144"/>
      <c r="O93" s="144"/>
      <c r="P93" s="144"/>
      <c r="Q93" s="144"/>
      <c r="R93" s="144">
        <f>R16</f>
        <v>330039.33999999991</v>
      </c>
      <c r="S93" s="144"/>
      <c r="T93" s="146"/>
    </row>
    <row r="94" spans="1:20" ht="21" customHeight="1" x14ac:dyDescent="0.25">
      <c r="E94" s="141" t="s">
        <v>66</v>
      </c>
      <c r="F94" s="142"/>
      <c r="G94" s="142"/>
      <c r="H94" s="142"/>
      <c r="I94" s="142"/>
      <c r="J94" s="143"/>
      <c r="K94" s="144"/>
      <c r="L94" s="144"/>
      <c r="M94" s="145"/>
      <c r="N94" s="144"/>
      <c r="O94" s="144"/>
      <c r="P94" s="144"/>
      <c r="Q94" s="144"/>
      <c r="R94" s="144">
        <f>R7+R13+R30+R44+R50+R64+R74</f>
        <v>120509.01</v>
      </c>
      <c r="S94" s="144"/>
      <c r="T94" s="146"/>
    </row>
    <row r="95" spans="1:20" ht="20.25" customHeight="1" x14ac:dyDescent="0.25">
      <c r="E95" s="141" t="s">
        <v>69</v>
      </c>
      <c r="F95" s="142"/>
      <c r="G95" s="142"/>
      <c r="H95" s="142"/>
      <c r="I95" s="142"/>
      <c r="J95" s="143"/>
      <c r="K95" s="144"/>
      <c r="L95" s="144"/>
      <c r="M95" s="145"/>
      <c r="N95" s="144"/>
      <c r="O95" s="144"/>
      <c r="P95" s="144"/>
      <c r="Q95" s="144"/>
      <c r="R95" s="144"/>
      <c r="S95" s="144">
        <f>S7+S13+S16+S30+S44+S50+S64+S74</f>
        <v>164957.55000000005</v>
      </c>
      <c r="T95" s="146"/>
    </row>
    <row r="96" spans="1:20" ht="23.25" customHeight="1" thickBot="1" x14ac:dyDescent="0.3">
      <c r="E96" s="119" t="s">
        <v>355</v>
      </c>
      <c r="F96" s="120"/>
      <c r="G96" s="120"/>
      <c r="H96" s="120"/>
      <c r="I96" s="120"/>
      <c r="J96" s="121"/>
      <c r="K96" s="118"/>
      <c r="L96" s="118">
        <f>J90+J91+K92</f>
        <v>502063.25000000006</v>
      </c>
      <c r="M96" s="76"/>
      <c r="N96" s="118"/>
      <c r="O96" s="118"/>
      <c r="P96" s="118"/>
      <c r="Q96" s="118"/>
      <c r="R96" s="118"/>
      <c r="S96" s="118"/>
      <c r="T96" s="346">
        <f>R93+R94+S95</f>
        <v>615505.89999999991</v>
      </c>
    </row>
    <row r="98" spans="18:20" x14ac:dyDescent="0.25">
      <c r="T98" s="147"/>
    </row>
    <row r="99" spans="18:20" x14ac:dyDescent="0.25">
      <c r="R99" s="147"/>
    </row>
    <row r="100" spans="18:20" x14ac:dyDescent="0.25">
      <c r="R100" s="147"/>
    </row>
    <row r="101" spans="18:20" x14ac:dyDescent="0.25">
      <c r="R101" s="147"/>
    </row>
  </sheetData>
  <mergeCells count="12">
    <mergeCell ref="I5:T5"/>
    <mergeCell ref="A1:T1"/>
    <mergeCell ref="A3:D3"/>
    <mergeCell ref="E3:T3"/>
    <mergeCell ref="A4:D4"/>
    <mergeCell ref="E4:T4"/>
    <mergeCell ref="A5:D5"/>
    <mergeCell ref="E5:F5"/>
    <mergeCell ref="A2:D2"/>
    <mergeCell ref="M2:N2"/>
    <mergeCell ref="Q2:R2"/>
    <mergeCell ref="E2:I2"/>
  </mergeCells>
  <printOptions horizontalCentered="1"/>
  <pageMargins left="0.19685039370078741" right="0.19685039370078741" top="0.19685039370078741" bottom="0.19685039370078741" header="0.31496062992125984" footer="0.31496062992125984"/>
  <pageSetup paperSize="8" scale="30" fitToHeight="0" orientation="landscape" r:id="rId1"/>
  <ignoredErrors>
    <ignoredError sqref="A90:T90 A3:T5 B1:T1 A6:E16 G30:L30 N64:S64 N7:T15 N63:T63 A63:E68 N65:T68 R6:T6 A2:E2 S2 J2:P2 G16:T16 G63:L64 G66:L68 G7:L15 G76:L77 G6:P6 G65 I65:L65 H75:L75 N30:T30 A17:E18 G17:T18 A19:E19 G19:T19 A20:E20 G20:T20 A21:E27 G21:T27 A28:E28 G28:T28 A29:E30 G29:T29 G31:L41 N31:T41 A31:E41 G42:L45 N42:T45 A42:E45 G47:L47 N47:T47 A47:E47 G48:L48 N48:T48 A48:E48 G49:L51 N49:T51 A49:E51 G52:L52 N52:T52 A52:E52 G53:L61 N53:T61 A53:E61 G62:L62 N62:T62 A62:E62 A69:E77 N69:T77 G69:L74 G78:L78 A78:E78 N78:T78 G79:L79 A79:E79 N79:T79 G81:L81 A81:E81 N81:T81 G82:L87 B87:E87 N82:T87 G88:L89 B89:E89 N88:T89 B82:E82 B83:E83 B84:E84 B85:E85 B86:E86 B88:E8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1"/>
  <sheetViews>
    <sheetView zoomScale="50" zoomScaleNormal="50" workbookViewId="0">
      <selection activeCell="D330" sqref="D330"/>
    </sheetView>
  </sheetViews>
  <sheetFormatPr defaultRowHeight="15.75" x14ac:dyDescent="0.25"/>
  <cols>
    <col min="1" max="1" width="12.7109375" style="4" customWidth="1"/>
    <col min="2" max="2" width="11.85546875" style="4" customWidth="1"/>
    <col min="3" max="3" width="25.85546875" style="12" customWidth="1"/>
    <col min="4" max="4" width="203.42578125" style="4" customWidth="1"/>
    <col min="5" max="5" width="18" style="4" customWidth="1"/>
    <col min="6" max="6" width="18.140625" style="4" customWidth="1"/>
    <col min="7" max="7" width="25.85546875" style="4" customWidth="1"/>
    <col min="8" max="11" width="33.85546875" style="4" customWidth="1"/>
    <col min="12" max="18" width="34" style="4" customWidth="1"/>
    <col min="19" max="19" width="38.5703125" style="4" customWidth="1"/>
    <col min="20" max="20" width="38.42578125" style="12" customWidth="1"/>
    <col min="21" max="21" width="21.7109375" style="4" customWidth="1"/>
    <col min="22" max="22" width="24.85546875" style="4" customWidth="1"/>
    <col min="23" max="16384" width="9.140625" style="4"/>
  </cols>
  <sheetData>
    <row r="1" spans="1:20" ht="76.5" customHeight="1" thickBot="1" x14ac:dyDescent="0.3">
      <c r="A1" s="107" t="s">
        <v>429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11"/>
      <c r="S1" s="109"/>
      <c r="T1" s="110"/>
    </row>
    <row r="2" spans="1:20" ht="20.25" customHeight="1" thickBot="1" x14ac:dyDescent="0.3">
      <c r="A2" s="433" t="s">
        <v>140</v>
      </c>
      <c r="B2" s="434"/>
      <c r="C2" s="434"/>
      <c r="D2" s="435"/>
      <c r="E2" s="436" t="s">
        <v>20</v>
      </c>
      <c r="F2" s="437"/>
      <c r="G2" s="438"/>
      <c r="H2" s="296"/>
      <c r="I2" s="296"/>
      <c r="J2" s="296"/>
      <c r="K2" s="296"/>
      <c r="L2" s="295" t="s">
        <v>0</v>
      </c>
      <c r="M2" s="398" t="s">
        <v>36</v>
      </c>
      <c r="N2" s="400"/>
      <c r="O2" s="400"/>
      <c r="P2" s="400"/>
      <c r="Q2" s="400"/>
      <c r="R2" s="400"/>
      <c r="S2" s="400"/>
      <c r="T2" s="442"/>
    </row>
    <row r="3" spans="1:20" ht="20.25" customHeight="1" thickBot="1" x14ac:dyDescent="0.3">
      <c r="A3" s="422" t="s">
        <v>356</v>
      </c>
      <c r="B3" s="423"/>
      <c r="C3" s="423"/>
      <c r="D3" s="424"/>
      <c r="E3" s="439" t="s">
        <v>327</v>
      </c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1"/>
    </row>
    <row r="4" spans="1:20" ht="20.25" customHeight="1" thickBot="1" x14ac:dyDescent="0.3">
      <c r="A4" s="422" t="s">
        <v>283</v>
      </c>
      <c r="B4" s="423"/>
      <c r="C4" s="423"/>
      <c r="D4" s="424"/>
      <c r="E4" s="427" t="s">
        <v>454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9"/>
    </row>
    <row r="5" spans="1:20" ht="20.25" customHeight="1" thickBot="1" x14ac:dyDescent="0.3">
      <c r="A5" s="422" t="s">
        <v>453</v>
      </c>
      <c r="B5" s="423"/>
      <c r="C5" s="423"/>
      <c r="D5" s="424"/>
      <c r="E5" s="425" t="s">
        <v>328</v>
      </c>
      <c r="F5" s="426"/>
      <c r="G5" s="297"/>
      <c r="H5" s="297"/>
      <c r="I5" s="244" t="s">
        <v>275</v>
      </c>
      <c r="J5" s="246">
        <f>('Cálculo do BDI'!B20)/100</f>
        <v>0.26838623884514634</v>
      </c>
      <c r="K5" s="271">
        <f>('Cálculo do BDI'!B34)/100</f>
        <v>0.2111176002216073</v>
      </c>
      <c r="L5" s="430" t="s">
        <v>30</v>
      </c>
      <c r="M5" s="431"/>
      <c r="N5" s="431"/>
      <c r="O5" s="431"/>
      <c r="P5" s="431"/>
      <c r="Q5" s="431"/>
      <c r="R5" s="431"/>
      <c r="S5" s="431"/>
      <c r="T5" s="432"/>
    </row>
    <row r="6" spans="1:20" ht="23.25" customHeight="1" thickBot="1" x14ac:dyDescent="0.35">
      <c r="A6" s="41" t="s">
        <v>5</v>
      </c>
      <c r="B6" s="41" t="s">
        <v>6</v>
      </c>
      <c r="C6" s="42" t="s">
        <v>311</v>
      </c>
      <c r="D6" s="43" t="s">
        <v>3</v>
      </c>
      <c r="E6" s="41" t="s">
        <v>4</v>
      </c>
      <c r="F6" s="41" t="s">
        <v>19</v>
      </c>
      <c r="G6" s="41" t="s">
        <v>32</v>
      </c>
      <c r="H6" s="41" t="s">
        <v>49</v>
      </c>
      <c r="I6" s="41" t="s">
        <v>52</v>
      </c>
      <c r="J6" s="41" t="s">
        <v>63</v>
      </c>
      <c r="K6" s="41" t="s">
        <v>51</v>
      </c>
      <c r="L6" s="41" t="s">
        <v>53</v>
      </c>
      <c r="M6" s="41" t="s">
        <v>62</v>
      </c>
      <c r="N6" s="41" t="s">
        <v>64</v>
      </c>
      <c r="O6" s="41" t="s">
        <v>54</v>
      </c>
      <c r="P6" s="41" t="s">
        <v>65</v>
      </c>
      <c r="Q6" s="41" t="s">
        <v>55</v>
      </c>
      <c r="R6" s="41" t="s">
        <v>56</v>
      </c>
      <c r="S6" s="41" t="s">
        <v>57</v>
      </c>
      <c r="T6" s="41" t="s">
        <v>50</v>
      </c>
    </row>
    <row r="7" spans="1:20" ht="16.5" customHeight="1" x14ac:dyDescent="0.3">
      <c r="A7" s="257">
        <v>1</v>
      </c>
      <c r="B7" s="298"/>
      <c r="C7" s="78"/>
      <c r="D7" s="79" t="s">
        <v>80</v>
      </c>
      <c r="E7" s="80"/>
      <c r="F7" s="336"/>
      <c r="G7" s="80"/>
      <c r="H7" s="80"/>
      <c r="I7" s="80"/>
      <c r="J7" s="98"/>
      <c r="K7" s="81">
        <f>SUM(K8:K23)</f>
        <v>3000.8199999999997</v>
      </c>
      <c r="L7" s="81">
        <f>SUM(L8:L23)</f>
        <v>3104.38</v>
      </c>
      <c r="M7" s="81">
        <f>L7+K7</f>
        <v>6105.2</v>
      </c>
      <c r="N7" s="115">
        <f>$K$5</f>
        <v>0.2111176002216073</v>
      </c>
      <c r="O7" s="98"/>
      <c r="P7" s="115">
        <f>$J$5</f>
        <v>0.26838623884514634</v>
      </c>
      <c r="Q7" s="98"/>
      <c r="R7" s="81">
        <f>SUM(R8:R23)</f>
        <v>3634.36</v>
      </c>
      <c r="S7" s="81">
        <f>SUM(S8:S23)</f>
        <v>3937.54</v>
      </c>
      <c r="T7" s="82">
        <f>S7+R7</f>
        <v>7571.9</v>
      </c>
    </row>
    <row r="8" spans="1:20" ht="16.5" customHeight="1" x14ac:dyDescent="0.25">
      <c r="A8" s="299" t="s">
        <v>277</v>
      </c>
      <c r="B8" s="300" t="s">
        <v>37</v>
      </c>
      <c r="C8" s="77"/>
      <c r="D8" s="15" t="s">
        <v>81</v>
      </c>
      <c r="E8" s="16" t="s">
        <v>116</v>
      </c>
      <c r="F8" s="191">
        <f>'Planilha Analítica'!F8</f>
        <v>2.0000000000000004</v>
      </c>
      <c r="G8" s="17"/>
      <c r="H8" s="92">
        <f>SUM(H9:H14)</f>
        <v>283.61</v>
      </c>
      <c r="I8" s="92">
        <f>SUM(I12:I13)</f>
        <v>112.86</v>
      </c>
      <c r="J8" s="92">
        <f>I8+H8</f>
        <v>396.47</v>
      </c>
      <c r="K8" s="92">
        <f>ROUND(H8*$F8,2)</f>
        <v>567.22</v>
      </c>
      <c r="L8" s="92">
        <f>ROUND(I8*$F8,2)</f>
        <v>225.72</v>
      </c>
      <c r="M8" s="100">
        <f>L8+K8</f>
        <v>792.94</v>
      </c>
      <c r="N8" s="112">
        <f>$K$5</f>
        <v>0.2111176002216073</v>
      </c>
      <c r="O8" s="100">
        <f>ROUND(H8*(1+$N8),2)</f>
        <v>343.49</v>
      </c>
      <c r="P8" s="112">
        <f>$J$5</f>
        <v>0.26838623884514634</v>
      </c>
      <c r="Q8" s="100">
        <f>ROUND(I8*(1+$P8),2)</f>
        <v>143.15</v>
      </c>
      <c r="R8" s="28">
        <f>ROUND(O8*$F8,2)</f>
        <v>686.98</v>
      </c>
      <c r="S8" s="28">
        <f>ROUND(Q8*$F8,2)</f>
        <v>286.3</v>
      </c>
      <c r="T8" s="28">
        <f>S8+R8</f>
        <v>973.28</v>
      </c>
    </row>
    <row r="9" spans="1:20" ht="16.5" customHeight="1" x14ac:dyDescent="0.25">
      <c r="A9" s="301" t="s">
        <v>284</v>
      </c>
      <c r="B9" s="302" t="s">
        <v>18</v>
      </c>
      <c r="C9" s="44">
        <v>4491</v>
      </c>
      <c r="D9" s="20" t="s">
        <v>287</v>
      </c>
      <c r="E9" s="36" t="s">
        <v>117</v>
      </c>
      <c r="F9" s="192">
        <v>3.26</v>
      </c>
      <c r="G9" s="37">
        <v>7.75</v>
      </c>
      <c r="H9" s="93">
        <f>TRUNC(G9*F9,2)</f>
        <v>25.26</v>
      </c>
      <c r="I9" s="93"/>
      <c r="J9" s="93"/>
      <c r="K9" s="93"/>
      <c r="L9" s="94"/>
      <c r="M9" s="101"/>
      <c r="N9" s="113"/>
      <c r="O9" s="101"/>
      <c r="P9" s="113"/>
      <c r="Q9" s="101"/>
      <c r="R9" s="64"/>
      <c r="S9" s="29"/>
      <c r="T9" s="29"/>
    </row>
    <row r="10" spans="1:20" ht="16.5" customHeight="1" x14ac:dyDescent="0.25">
      <c r="A10" s="301" t="s">
        <v>284</v>
      </c>
      <c r="B10" s="302" t="s">
        <v>18</v>
      </c>
      <c r="C10" s="199">
        <v>4813</v>
      </c>
      <c r="D10" s="20" t="s">
        <v>86</v>
      </c>
      <c r="E10" s="36" t="s">
        <v>116</v>
      </c>
      <c r="F10" s="192">
        <v>1</v>
      </c>
      <c r="G10" s="37">
        <v>250</v>
      </c>
      <c r="H10" s="93">
        <f>TRUNC(G10*F10,2)</f>
        <v>250</v>
      </c>
      <c r="I10" s="93"/>
      <c r="J10" s="247"/>
      <c r="K10" s="93"/>
      <c r="L10" s="94"/>
      <c r="M10" s="101"/>
      <c r="N10" s="113"/>
      <c r="O10" s="101"/>
      <c r="P10" s="113"/>
      <c r="Q10" s="101"/>
      <c r="R10" s="64"/>
      <c r="S10" s="29"/>
      <c r="T10" s="29"/>
    </row>
    <row r="11" spans="1:20" ht="16.5" customHeight="1" x14ac:dyDescent="0.25">
      <c r="A11" s="301" t="s">
        <v>284</v>
      </c>
      <c r="B11" s="302" t="s">
        <v>18</v>
      </c>
      <c r="C11" s="199">
        <v>5075</v>
      </c>
      <c r="D11" s="20" t="s">
        <v>87</v>
      </c>
      <c r="E11" s="36" t="s">
        <v>121</v>
      </c>
      <c r="F11" s="192">
        <v>0.2</v>
      </c>
      <c r="G11" s="37">
        <v>14.63</v>
      </c>
      <c r="H11" s="93">
        <f>TRUNC(G11*F11,2)</f>
        <v>2.92</v>
      </c>
      <c r="I11" s="93"/>
      <c r="J11" s="93"/>
      <c r="K11" s="93"/>
      <c r="L11" s="94"/>
      <c r="M11" s="101"/>
      <c r="N11" s="113"/>
      <c r="O11" s="101"/>
      <c r="P11" s="113"/>
      <c r="Q11" s="101"/>
      <c r="R11" s="64"/>
      <c r="S11" s="29"/>
      <c r="T11" s="29"/>
    </row>
    <row r="12" spans="1:20" ht="16.5" customHeight="1" x14ac:dyDescent="0.25">
      <c r="A12" s="301" t="s">
        <v>285</v>
      </c>
      <c r="B12" s="302" t="s">
        <v>18</v>
      </c>
      <c r="C12" s="199">
        <v>88262</v>
      </c>
      <c r="D12" s="20" t="s">
        <v>70</v>
      </c>
      <c r="E12" s="36" t="s">
        <v>118</v>
      </c>
      <c r="F12" s="192">
        <v>1.91</v>
      </c>
      <c r="G12" s="37">
        <v>28.87</v>
      </c>
      <c r="H12" s="93"/>
      <c r="I12" s="34">
        <f>TRUNC(G12*F12,2)</f>
        <v>55.14</v>
      </c>
      <c r="J12" s="93"/>
      <c r="K12" s="93"/>
      <c r="L12" s="94"/>
      <c r="M12" s="101"/>
      <c r="N12" s="113"/>
      <c r="O12" s="101"/>
      <c r="P12" s="113"/>
      <c r="Q12" s="101"/>
      <c r="R12" s="64"/>
      <c r="S12" s="29"/>
      <c r="T12" s="29"/>
    </row>
    <row r="13" spans="1:20" ht="16.5" customHeight="1" x14ac:dyDescent="0.25">
      <c r="A13" s="301" t="s">
        <v>285</v>
      </c>
      <c r="B13" s="302" t="s">
        <v>18</v>
      </c>
      <c r="C13" s="199">
        <v>88316</v>
      </c>
      <c r="D13" s="20" t="s">
        <v>28</v>
      </c>
      <c r="E13" s="36" t="s">
        <v>118</v>
      </c>
      <c r="F13" s="192">
        <v>2.27</v>
      </c>
      <c r="G13" s="37">
        <v>25.43</v>
      </c>
      <c r="H13" s="93"/>
      <c r="I13" s="34">
        <f>TRUNC(G13*F13,2)</f>
        <v>57.72</v>
      </c>
      <c r="J13" s="93"/>
      <c r="K13" s="93"/>
      <c r="L13" s="94"/>
      <c r="M13" s="101"/>
      <c r="N13" s="113"/>
      <c r="O13" s="101"/>
      <c r="P13" s="113"/>
      <c r="Q13" s="101"/>
      <c r="R13" s="64"/>
      <c r="S13" s="29"/>
      <c r="T13" s="29"/>
    </row>
    <row r="14" spans="1:20" ht="16.5" customHeight="1" x14ac:dyDescent="0.25">
      <c r="A14" s="301" t="s">
        <v>285</v>
      </c>
      <c r="B14" s="302" t="s">
        <v>18</v>
      </c>
      <c r="C14" s="199">
        <v>1379</v>
      </c>
      <c r="D14" s="20" t="s">
        <v>253</v>
      </c>
      <c r="E14" s="36" t="s">
        <v>121</v>
      </c>
      <c r="F14" s="192">
        <v>9.06</v>
      </c>
      <c r="G14" s="37">
        <v>0.6</v>
      </c>
      <c r="H14" s="93">
        <f>TRUNC(G14*F14,2)</f>
        <v>5.43</v>
      </c>
      <c r="I14" s="93"/>
      <c r="J14" s="93"/>
      <c r="K14" s="93"/>
      <c r="L14" s="94"/>
      <c r="M14" s="101"/>
      <c r="N14" s="113"/>
      <c r="O14" s="101"/>
      <c r="P14" s="113"/>
      <c r="Q14" s="101"/>
      <c r="R14" s="64"/>
      <c r="S14" s="29"/>
      <c r="T14" s="29"/>
    </row>
    <row r="15" spans="1:20" ht="16.5" customHeight="1" x14ac:dyDescent="0.25">
      <c r="A15" s="301" t="s">
        <v>285</v>
      </c>
      <c r="B15" s="302" t="s">
        <v>18</v>
      </c>
      <c r="C15" s="199">
        <v>370</v>
      </c>
      <c r="D15" s="20" t="s">
        <v>305</v>
      </c>
      <c r="E15" s="36" t="s">
        <v>119</v>
      </c>
      <c r="F15" s="192">
        <v>0.02</v>
      </c>
      <c r="G15" s="37">
        <v>65</v>
      </c>
      <c r="H15" s="93">
        <f>TRUNC(G15*F15,2)</f>
        <v>1.3</v>
      </c>
      <c r="I15" s="93"/>
      <c r="J15" s="93"/>
      <c r="K15" s="93"/>
      <c r="L15" s="94"/>
      <c r="M15" s="101"/>
      <c r="N15" s="113"/>
      <c r="O15" s="101"/>
      <c r="P15" s="113"/>
      <c r="Q15" s="101"/>
      <c r="R15" s="64"/>
      <c r="S15" s="29"/>
      <c r="T15" s="29"/>
    </row>
    <row r="16" spans="1:20" ht="16.5" customHeight="1" x14ac:dyDescent="0.25">
      <c r="A16" s="299" t="s">
        <v>8</v>
      </c>
      <c r="B16" s="300" t="s">
        <v>37</v>
      </c>
      <c r="C16" s="77"/>
      <c r="D16" s="15" t="s">
        <v>76</v>
      </c>
      <c r="E16" s="16" t="s">
        <v>126</v>
      </c>
      <c r="F16" s="191">
        <f>'Planilha Analítica'!F9</f>
        <v>2.0000000000000004</v>
      </c>
      <c r="G16" s="17"/>
      <c r="H16" s="92">
        <f>SUM(H17)</f>
        <v>0</v>
      </c>
      <c r="I16" s="92">
        <f>I17</f>
        <v>262.55</v>
      </c>
      <c r="J16" s="92">
        <f>I16+H16</f>
        <v>262.55</v>
      </c>
      <c r="K16" s="92">
        <f>ROUND(H16*$F16,2)</f>
        <v>0</v>
      </c>
      <c r="L16" s="92">
        <f>ROUND(I16*$F16,2)</f>
        <v>525.1</v>
      </c>
      <c r="M16" s="100">
        <f>L16+K16</f>
        <v>525.1</v>
      </c>
      <c r="N16" s="112">
        <f>$K$5</f>
        <v>0.2111176002216073</v>
      </c>
      <c r="O16" s="100">
        <f>ROUND(H16*(1+$N16),2)</f>
        <v>0</v>
      </c>
      <c r="P16" s="112">
        <f>$J$5</f>
        <v>0.26838623884514634</v>
      </c>
      <c r="Q16" s="100">
        <f>ROUND(I16*(1+$P16),2)</f>
        <v>333.01</v>
      </c>
      <c r="R16" s="28">
        <f>ROUND(O16*$F16,2)</f>
        <v>0</v>
      </c>
      <c r="S16" s="28">
        <f>ROUND(Q16*$F16,2)</f>
        <v>666.02</v>
      </c>
      <c r="T16" s="28">
        <f>S16+R16</f>
        <v>666.02</v>
      </c>
    </row>
    <row r="17" spans="1:21" ht="16.5" customHeight="1" x14ac:dyDescent="0.25">
      <c r="A17" s="303" t="s">
        <v>284</v>
      </c>
      <c r="B17" s="304" t="s">
        <v>114</v>
      </c>
      <c r="C17" s="294" t="s">
        <v>291</v>
      </c>
      <c r="D17" s="38" t="s">
        <v>77</v>
      </c>
      <c r="E17" s="26" t="s">
        <v>126</v>
      </c>
      <c r="F17" s="192">
        <v>1</v>
      </c>
      <c r="G17" s="37">
        <v>262.55</v>
      </c>
      <c r="H17" s="93"/>
      <c r="I17" s="34">
        <f>TRUNC(G17*F17,2)</f>
        <v>262.55</v>
      </c>
      <c r="J17" s="34"/>
      <c r="K17" s="34"/>
      <c r="L17" s="94"/>
      <c r="M17" s="101"/>
      <c r="N17" s="113"/>
      <c r="O17" s="101"/>
      <c r="P17" s="113"/>
      <c r="Q17" s="101"/>
      <c r="R17" s="64"/>
      <c r="S17" s="29"/>
      <c r="T17" s="29"/>
    </row>
    <row r="18" spans="1:21" ht="16.5" customHeight="1" x14ac:dyDescent="0.25">
      <c r="A18" s="299" t="s">
        <v>82</v>
      </c>
      <c r="B18" s="300" t="s">
        <v>37</v>
      </c>
      <c r="C18" s="77"/>
      <c r="D18" s="15" t="s">
        <v>78</v>
      </c>
      <c r="E18" s="16" t="s">
        <v>126</v>
      </c>
      <c r="F18" s="191">
        <f>'Planilha Analítica'!F10</f>
        <v>1.0000000000000002</v>
      </c>
      <c r="G18" s="17"/>
      <c r="H18" s="92">
        <f>SUM(H19)</f>
        <v>0</v>
      </c>
      <c r="I18" s="92">
        <f>I19</f>
        <v>1069.8</v>
      </c>
      <c r="J18" s="92">
        <f>I18+H18</f>
        <v>1069.8</v>
      </c>
      <c r="K18" s="92">
        <f>ROUND(H18*$F18,2)</f>
        <v>0</v>
      </c>
      <c r="L18" s="92">
        <f>ROUND(I18*$F18,2)</f>
        <v>1069.8</v>
      </c>
      <c r="M18" s="100">
        <f>L18+K18</f>
        <v>1069.8</v>
      </c>
      <c r="N18" s="112">
        <f>$K$5</f>
        <v>0.2111176002216073</v>
      </c>
      <c r="O18" s="100">
        <f>ROUND(H18*(1+$N18),2)</f>
        <v>0</v>
      </c>
      <c r="P18" s="112">
        <f>$J$5</f>
        <v>0.26838623884514634</v>
      </c>
      <c r="Q18" s="100">
        <f>ROUND(I18*(1+$P18),2)</f>
        <v>1356.92</v>
      </c>
      <c r="R18" s="28">
        <f>ROUND(O18*$F18,2)</f>
        <v>0</v>
      </c>
      <c r="S18" s="28">
        <f>ROUND(Q18*$F18,2)</f>
        <v>1356.92</v>
      </c>
      <c r="T18" s="28">
        <f>S18+R18</f>
        <v>1356.92</v>
      </c>
    </row>
    <row r="19" spans="1:21" ht="16.5" customHeight="1" x14ac:dyDescent="0.25">
      <c r="A19" s="301" t="s">
        <v>285</v>
      </c>
      <c r="B19" s="305" t="s">
        <v>18</v>
      </c>
      <c r="C19" s="44">
        <v>90778</v>
      </c>
      <c r="D19" s="35" t="s">
        <v>38</v>
      </c>
      <c r="E19" s="36" t="s">
        <v>118</v>
      </c>
      <c r="F19" s="192">
        <v>10</v>
      </c>
      <c r="G19" s="37">
        <v>106.98</v>
      </c>
      <c r="H19" s="34"/>
      <c r="I19" s="34">
        <f>TRUNC(G19*F19,2)</f>
        <v>1069.8</v>
      </c>
      <c r="J19" s="34"/>
      <c r="K19" s="34"/>
      <c r="L19" s="94"/>
      <c r="M19" s="101"/>
      <c r="N19" s="113"/>
      <c r="O19" s="101"/>
      <c r="P19" s="113"/>
      <c r="Q19" s="101"/>
      <c r="R19" s="64"/>
      <c r="S19" s="29"/>
      <c r="T19" s="29"/>
    </row>
    <row r="20" spans="1:21" ht="16.5" customHeight="1" x14ac:dyDescent="0.25">
      <c r="A20" s="299" t="s">
        <v>83</v>
      </c>
      <c r="B20" s="300" t="s">
        <v>37</v>
      </c>
      <c r="C20" s="77"/>
      <c r="D20" s="15" t="s">
        <v>79</v>
      </c>
      <c r="E20" s="16" t="s">
        <v>126</v>
      </c>
      <c r="F20" s="191">
        <f>'Planilha Analítica'!F11</f>
        <v>1.0000000000000002</v>
      </c>
      <c r="G20" s="17"/>
      <c r="H20" s="92">
        <f>SUM(H21)</f>
        <v>0</v>
      </c>
      <c r="I20" s="92">
        <f>I21</f>
        <v>1283.76</v>
      </c>
      <c r="J20" s="92">
        <f>I20+H20</f>
        <v>1283.76</v>
      </c>
      <c r="K20" s="92">
        <f>ROUND(H20*$F20,2)</f>
        <v>0</v>
      </c>
      <c r="L20" s="92">
        <f>ROUND(I20*$F20,2)</f>
        <v>1283.76</v>
      </c>
      <c r="M20" s="100">
        <f>L20+K20</f>
        <v>1283.76</v>
      </c>
      <c r="N20" s="112">
        <f>$K$5</f>
        <v>0.2111176002216073</v>
      </c>
      <c r="O20" s="100">
        <f>ROUND(H20*(1+$N20),2)</f>
        <v>0</v>
      </c>
      <c r="P20" s="112">
        <f>$J$5</f>
        <v>0.26838623884514634</v>
      </c>
      <c r="Q20" s="100">
        <f>ROUND(I20*(1+$P20),2)</f>
        <v>1628.3</v>
      </c>
      <c r="R20" s="28">
        <f>ROUND(O20*$F20,2)</f>
        <v>0</v>
      </c>
      <c r="S20" s="28">
        <f>ROUND(Q20*$F20,2)</f>
        <v>1628.3</v>
      </c>
      <c r="T20" s="28">
        <f>S20+R20</f>
        <v>1628.3</v>
      </c>
    </row>
    <row r="21" spans="1:21" ht="16.5" customHeight="1" x14ac:dyDescent="0.25">
      <c r="A21" s="301" t="s">
        <v>285</v>
      </c>
      <c r="B21" s="305" t="s">
        <v>18</v>
      </c>
      <c r="C21" s="44">
        <v>90778</v>
      </c>
      <c r="D21" s="35" t="s">
        <v>38</v>
      </c>
      <c r="E21" s="36" t="s">
        <v>118</v>
      </c>
      <c r="F21" s="192">
        <v>12</v>
      </c>
      <c r="G21" s="37">
        <v>106.98</v>
      </c>
      <c r="H21" s="34"/>
      <c r="I21" s="34">
        <f>TRUNC(G21*F21,2)</f>
        <v>1283.76</v>
      </c>
      <c r="J21" s="34"/>
      <c r="K21" s="34"/>
      <c r="L21" s="94"/>
      <c r="M21" s="101"/>
      <c r="N21" s="113"/>
      <c r="O21" s="101"/>
      <c r="P21" s="113"/>
      <c r="Q21" s="101"/>
      <c r="R21" s="64"/>
      <c r="S21" s="29"/>
      <c r="T21" s="29"/>
    </row>
    <row r="22" spans="1:21" ht="16.5" customHeight="1" x14ac:dyDescent="0.25">
      <c r="A22" s="299" t="s">
        <v>84</v>
      </c>
      <c r="B22" s="300" t="s">
        <v>37</v>
      </c>
      <c r="C22" s="14"/>
      <c r="D22" s="15" t="s">
        <v>396</v>
      </c>
      <c r="E22" s="16" t="s">
        <v>395</v>
      </c>
      <c r="F22" s="191">
        <f>'Planilha Analítica'!F12</f>
        <v>3</v>
      </c>
      <c r="G22" s="17"/>
      <c r="H22" s="92">
        <f>SUM(H23:H23)</f>
        <v>811.2</v>
      </c>
      <c r="I22" s="92">
        <f>SUM(I23)</f>
        <v>0</v>
      </c>
      <c r="J22" s="92">
        <f>I22+H22</f>
        <v>811.2</v>
      </c>
      <c r="K22" s="92">
        <f>ROUND(H22*$F22,2)</f>
        <v>2433.6</v>
      </c>
      <c r="L22" s="92">
        <f>ROUND(I22*$F22,2)</f>
        <v>0</v>
      </c>
      <c r="M22" s="100">
        <f>L22+K22</f>
        <v>2433.6</v>
      </c>
      <c r="N22" s="112">
        <f>$K$5</f>
        <v>0.2111176002216073</v>
      </c>
      <c r="O22" s="100">
        <f>ROUND(H22*(1+$N22),2)</f>
        <v>982.46</v>
      </c>
      <c r="P22" s="112">
        <f>$J$5</f>
        <v>0.26838623884514634</v>
      </c>
      <c r="Q22" s="100">
        <f>ROUND(I22*(1+$P22),2)</f>
        <v>0</v>
      </c>
      <c r="R22" s="28">
        <f>ROUND(O22*$F22,2)</f>
        <v>2947.38</v>
      </c>
      <c r="S22" s="28">
        <f>ROUND(Q22*$F22,2)</f>
        <v>0</v>
      </c>
      <c r="T22" s="28">
        <f>S22+R22</f>
        <v>2947.38</v>
      </c>
    </row>
    <row r="23" spans="1:21" ht="16.5" customHeight="1" thickBot="1" x14ac:dyDescent="0.3">
      <c r="A23" s="317" t="s">
        <v>284</v>
      </c>
      <c r="B23" s="320" t="s">
        <v>294</v>
      </c>
      <c r="C23" s="321" t="s">
        <v>393</v>
      </c>
      <c r="D23" s="322" t="s">
        <v>394</v>
      </c>
      <c r="E23" s="218" t="s">
        <v>395</v>
      </c>
      <c r="F23" s="193">
        <v>1</v>
      </c>
      <c r="G23" s="72">
        <v>811.2</v>
      </c>
      <c r="H23" s="106">
        <f>TRUNC(G23*F23,2)</f>
        <v>811.2</v>
      </c>
      <c r="I23" s="106"/>
      <c r="J23" s="106"/>
      <c r="K23" s="106"/>
      <c r="L23" s="233"/>
      <c r="M23" s="234"/>
      <c r="N23" s="114"/>
      <c r="O23" s="234"/>
      <c r="P23" s="114"/>
      <c r="Q23" s="234"/>
      <c r="R23" s="65"/>
      <c r="S23" s="30"/>
      <c r="T23" s="30"/>
    </row>
    <row r="24" spans="1:21" s="10" customFormat="1" ht="16.5" customHeight="1" x14ac:dyDescent="0.35">
      <c r="A24" s="307">
        <v>2</v>
      </c>
      <c r="B24" s="308"/>
      <c r="C24" s="31"/>
      <c r="D24" s="33" t="s">
        <v>31</v>
      </c>
      <c r="E24" s="32"/>
      <c r="F24" s="194"/>
      <c r="G24" s="177"/>
      <c r="H24" s="32"/>
      <c r="I24" s="32"/>
      <c r="J24" s="99"/>
      <c r="K24" s="67">
        <f>SUM(K25:K28)</f>
        <v>0</v>
      </c>
      <c r="L24" s="73">
        <f>SUM(L25:L28)</f>
        <v>44258.34</v>
      </c>
      <c r="M24" s="67">
        <f>L24+K24</f>
        <v>44258.34</v>
      </c>
      <c r="N24" s="263">
        <f>$K$5</f>
        <v>0.2111176002216073</v>
      </c>
      <c r="O24" s="99"/>
      <c r="P24" s="263">
        <f>$J$5</f>
        <v>0.26838623884514634</v>
      </c>
      <c r="Q24" s="99"/>
      <c r="R24" s="67">
        <f>SUM(R25:R28)</f>
        <v>0</v>
      </c>
      <c r="S24" s="73">
        <f>SUM(S25:S28)</f>
        <v>56136.66</v>
      </c>
      <c r="T24" s="73">
        <f>S24+R24</f>
        <v>56136.66</v>
      </c>
    </row>
    <row r="25" spans="1:21" ht="16.5" customHeight="1" x14ac:dyDescent="0.25">
      <c r="A25" s="299" t="s">
        <v>33</v>
      </c>
      <c r="B25" s="300" t="s">
        <v>37</v>
      </c>
      <c r="C25" s="77"/>
      <c r="D25" s="15" t="s">
        <v>374</v>
      </c>
      <c r="E25" s="16" t="s">
        <v>127</v>
      </c>
      <c r="F25" s="191">
        <f>'Planilha Analítica'!F14</f>
        <v>3</v>
      </c>
      <c r="G25" s="17"/>
      <c r="H25" s="89">
        <f>H26</f>
        <v>0</v>
      </c>
      <c r="I25" s="89">
        <f>SUM(I26:I26)</f>
        <v>7467</v>
      </c>
      <c r="J25" s="92">
        <f>I25+H25</f>
        <v>7467</v>
      </c>
      <c r="K25" s="92">
        <f>ROUND(H25*$F25,2)</f>
        <v>0</v>
      </c>
      <c r="L25" s="92">
        <f>ROUND(I25*$F25,2)</f>
        <v>22401</v>
      </c>
      <c r="M25" s="100">
        <f>L25+K25</f>
        <v>22401</v>
      </c>
      <c r="N25" s="112">
        <f>$K$5</f>
        <v>0.2111176002216073</v>
      </c>
      <c r="O25" s="100">
        <f>ROUND(H25*(1+$N25),2)</f>
        <v>0</v>
      </c>
      <c r="P25" s="112">
        <f>$J$5</f>
        <v>0.26838623884514634</v>
      </c>
      <c r="Q25" s="100">
        <f>ROUND(I25*(1+$P25),2)</f>
        <v>9471.0400000000009</v>
      </c>
      <c r="R25" s="28">
        <f>ROUND(O25*$F25,2)</f>
        <v>0</v>
      </c>
      <c r="S25" s="28">
        <f>ROUND(Q25*$F25,2)</f>
        <v>28413.119999999999</v>
      </c>
      <c r="T25" s="28">
        <f>S25+R25</f>
        <v>28413.119999999999</v>
      </c>
    </row>
    <row r="26" spans="1:21" ht="16.5" customHeight="1" x14ac:dyDescent="0.25">
      <c r="A26" s="301" t="s">
        <v>285</v>
      </c>
      <c r="B26" s="305" t="s">
        <v>18</v>
      </c>
      <c r="C26" s="44">
        <v>93567</v>
      </c>
      <c r="D26" s="35" t="s">
        <v>88</v>
      </c>
      <c r="E26" s="36" t="s">
        <v>127</v>
      </c>
      <c r="F26" s="192">
        <v>0.4</v>
      </c>
      <c r="G26" s="37">
        <v>18667.5</v>
      </c>
      <c r="H26" s="34"/>
      <c r="I26" s="34">
        <f>TRUNC(G26*F26,3)</f>
        <v>7467</v>
      </c>
      <c r="J26" s="34"/>
      <c r="K26" s="34"/>
      <c r="L26" s="94"/>
      <c r="M26" s="101"/>
      <c r="N26" s="113"/>
      <c r="O26" s="101"/>
      <c r="P26" s="113"/>
      <c r="Q26" s="101"/>
      <c r="R26" s="64"/>
      <c r="S26" s="29"/>
      <c r="T26" s="29"/>
    </row>
    <row r="27" spans="1:21" ht="16.5" customHeight="1" x14ac:dyDescent="0.25">
      <c r="A27" s="299" t="s">
        <v>34</v>
      </c>
      <c r="B27" s="300" t="s">
        <v>18</v>
      </c>
      <c r="C27" s="14">
        <v>93572</v>
      </c>
      <c r="D27" s="15" t="s">
        <v>89</v>
      </c>
      <c r="E27" s="16" t="s">
        <v>127</v>
      </c>
      <c r="F27" s="191">
        <f>'Planilha Analítica'!F15</f>
        <v>3</v>
      </c>
      <c r="G27" s="17"/>
      <c r="H27" s="89">
        <f>H28</f>
        <v>0</v>
      </c>
      <c r="I27" s="89">
        <f>I28</f>
        <v>7285.78</v>
      </c>
      <c r="J27" s="92">
        <f>I27+H27</f>
        <v>7285.78</v>
      </c>
      <c r="K27" s="92">
        <f>ROUND(H27*$F27,2)</f>
        <v>0</v>
      </c>
      <c r="L27" s="92">
        <f>ROUND(I27*$F27,2)</f>
        <v>21857.34</v>
      </c>
      <c r="M27" s="100">
        <f>L27+K27</f>
        <v>21857.34</v>
      </c>
      <c r="N27" s="112">
        <f>$K$5</f>
        <v>0.2111176002216073</v>
      </c>
      <c r="O27" s="100">
        <f>ROUND(H27*(1+$N27),2)</f>
        <v>0</v>
      </c>
      <c r="P27" s="112">
        <f>$J$5</f>
        <v>0.26838623884514634</v>
      </c>
      <c r="Q27" s="100">
        <f>ROUND(I27*(1+$P27),2)</f>
        <v>9241.18</v>
      </c>
      <c r="R27" s="28">
        <f>ROUND(O27*$F27,2)</f>
        <v>0</v>
      </c>
      <c r="S27" s="28">
        <f>ROUND(Q27*$F27,2)</f>
        <v>27723.54</v>
      </c>
      <c r="T27" s="28">
        <f>S27+R27</f>
        <v>27723.54</v>
      </c>
    </row>
    <row r="28" spans="1:21" ht="16.5" customHeight="1" thickBot="1" x14ac:dyDescent="0.3">
      <c r="A28" s="319" t="s">
        <v>285</v>
      </c>
      <c r="B28" s="320" t="s">
        <v>18</v>
      </c>
      <c r="C28" s="321">
        <v>93572</v>
      </c>
      <c r="D28" s="322" t="s">
        <v>89</v>
      </c>
      <c r="E28" s="218" t="s">
        <v>127</v>
      </c>
      <c r="F28" s="193">
        <v>1</v>
      </c>
      <c r="G28" s="72">
        <v>7285.78</v>
      </c>
      <c r="H28" s="49"/>
      <c r="I28" s="49">
        <f>TRUNC(G28*F28,2)</f>
        <v>7285.78</v>
      </c>
      <c r="J28" s="49"/>
      <c r="K28" s="49"/>
      <c r="L28" s="219"/>
      <c r="M28" s="102"/>
      <c r="N28" s="114"/>
      <c r="O28" s="102"/>
      <c r="P28" s="114"/>
      <c r="Q28" s="102"/>
      <c r="R28" s="65"/>
      <c r="S28" s="30"/>
      <c r="T28" s="30"/>
    </row>
    <row r="29" spans="1:21" ht="16.5" customHeight="1" x14ac:dyDescent="0.3">
      <c r="A29" s="307">
        <v>3</v>
      </c>
      <c r="B29" s="309"/>
      <c r="C29" s="86"/>
      <c r="D29" s="33" t="s">
        <v>264</v>
      </c>
      <c r="E29" s="87"/>
      <c r="F29" s="196"/>
      <c r="G29" s="178"/>
      <c r="H29" s="88"/>
      <c r="I29" s="88"/>
      <c r="J29" s="158"/>
      <c r="K29" s="66">
        <f>SUM(K30:K83)</f>
        <v>272508.17000000004</v>
      </c>
      <c r="L29" s="74">
        <f>SUM(L30:L83)</f>
        <v>18425.16</v>
      </c>
      <c r="M29" s="67">
        <f>L29+K29</f>
        <v>290933.33</v>
      </c>
      <c r="N29" s="263">
        <f>$K$5</f>
        <v>0.2111176002216073</v>
      </c>
      <c r="O29" s="103"/>
      <c r="P29" s="263">
        <f>$J$5</f>
        <v>0.26838623884514634</v>
      </c>
      <c r="Q29" s="103"/>
      <c r="R29" s="66">
        <f>SUM(R30:R83)</f>
        <v>330039.33999999991</v>
      </c>
      <c r="S29" s="66">
        <f>SUM(S30:S83)</f>
        <v>23370.25</v>
      </c>
      <c r="T29" s="73">
        <f>S29+R29</f>
        <v>353409.58999999991</v>
      </c>
      <c r="U29" s="6"/>
    </row>
    <row r="30" spans="1:21" ht="16.5" customHeight="1" x14ac:dyDescent="0.25">
      <c r="A30" s="299" t="s">
        <v>9</v>
      </c>
      <c r="B30" s="300" t="s">
        <v>37</v>
      </c>
      <c r="C30" s="252"/>
      <c r="D30" s="253" t="s">
        <v>134</v>
      </c>
      <c r="E30" s="249" t="s">
        <v>126</v>
      </c>
      <c r="F30" s="337">
        <f>'Planilha Analítica'!F17</f>
        <v>1</v>
      </c>
      <c r="G30" s="92"/>
      <c r="H30" s="92">
        <f>SUM(H31:H34)</f>
        <v>47868.65</v>
      </c>
      <c r="I30" s="92">
        <f>SUM(I31:I34)</f>
        <v>797.28</v>
      </c>
      <c r="J30" s="92">
        <f>I30+H30</f>
        <v>48665.93</v>
      </c>
      <c r="K30" s="92">
        <f>ROUND(H30*$F30,2)</f>
        <v>47868.65</v>
      </c>
      <c r="L30" s="92">
        <f>ROUND(I30*$F30,2)</f>
        <v>797.28</v>
      </c>
      <c r="M30" s="100">
        <f>L30+K30</f>
        <v>48665.93</v>
      </c>
      <c r="N30" s="112">
        <f>$K$5</f>
        <v>0.2111176002216073</v>
      </c>
      <c r="O30" s="100">
        <f>ROUND(H30*(1+$N30),2)</f>
        <v>57974.559999999998</v>
      </c>
      <c r="P30" s="112">
        <f>$J$5</f>
        <v>0.26838623884514634</v>
      </c>
      <c r="Q30" s="100">
        <f>ROUND(I30*(1+$P30),2)</f>
        <v>1011.26</v>
      </c>
      <c r="R30" s="28">
        <f>ROUND(O30*$F30,2)</f>
        <v>57974.559999999998</v>
      </c>
      <c r="S30" s="28">
        <f>ROUND(Q30*$F30,2)</f>
        <v>1011.26</v>
      </c>
      <c r="T30" s="28">
        <f>S30+R30</f>
        <v>58985.82</v>
      </c>
      <c r="U30" s="6"/>
    </row>
    <row r="31" spans="1:21" ht="16.5" customHeight="1" x14ac:dyDescent="0.25">
      <c r="A31" s="303" t="s">
        <v>284</v>
      </c>
      <c r="B31" s="304" t="s">
        <v>21</v>
      </c>
      <c r="C31" s="250" t="s">
        <v>373</v>
      </c>
      <c r="D31" s="23" t="s">
        <v>135</v>
      </c>
      <c r="E31" s="251" t="s">
        <v>126</v>
      </c>
      <c r="F31" s="338">
        <v>1</v>
      </c>
      <c r="G31" s="93">
        <v>47868.65</v>
      </c>
      <c r="H31" s="93">
        <f>TRUNC(G31*F31,2)</f>
        <v>47868.65</v>
      </c>
      <c r="I31" s="93"/>
      <c r="J31" s="93"/>
      <c r="K31" s="93"/>
      <c r="L31" s="94"/>
      <c r="M31" s="101"/>
      <c r="N31" s="113"/>
      <c r="O31" s="101"/>
      <c r="P31" s="113"/>
      <c r="Q31" s="101"/>
      <c r="R31" s="64"/>
      <c r="S31" s="29"/>
      <c r="T31" s="29"/>
      <c r="U31" s="5"/>
    </row>
    <row r="32" spans="1:21" ht="16.5" customHeight="1" x14ac:dyDescent="0.25">
      <c r="A32" s="303" t="s">
        <v>285</v>
      </c>
      <c r="B32" s="304" t="s">
        <v>18</v>
      </c>
      <c r="C32" s="250">
        <v>88266</v>
      </c>
      <c r="D32" s="21" t="s">
        <v>308</v>
      </c>
      <c r="E32" s="22" t="s">
        <v>118</v>
      </c>
      <c r="F32" s="195">
        <v>8</v>
      </c>
      <c r="G32" s="34">
        <v>41.49</v>
      </c>
      <c r="H32" s="34"/>
      <c r="I32" s="34">
        <f>TRUNC(G32*F32,2)</f>
        <v>331.92</v>
      </c>
      <c r="J32" s="34"/>
      <c r="K32" s="34"/>
      <c r="L32" s="94"/>
      <c r="M32" s="101"/>
      <c r="N32" s="113"/>
      <c r="O32" s="101"/>
      <c r="P32" s="113"/>
      <c r="Q32" s="101"/>
      <c r="R32" s="64"/>
      <c r="S32" s="29"/>
      <c r="T32" s="29"/>
      <c r="U32" s="6"/>
    </row>
    <row r="33" spans="1:21" ht="16.5" customHeight="1" x14ac:dyDescent="0.25">
      <c r="A33" s="303" t="s">
        <v>285</v>
      </c>
      <c r="B33" s="304" t="s">
        <v>18</v>
      </c>
      <c r="C33" s="250">
        <v>88247</v>
      </c>
      <c r="D33" s="21" t="s">
        <v>306</v>
      </c>
      <c r="E33" s="22" t="s">
        <v>118</v>
      </c>
      <c r="F33" s="195">
        <v>8</v>
      </c>
      <c r="G33" s="34">
        <v>27.82</v>
      </c>
      <c r="H33" s="34"/>
      <c r="I33" s="34">
        <f>TRUNC(G33*F33,2)</f>
        <v>222.56</v>
      </c>
      <c r="J33" s="34"/>
      <c r="K33" s="34"/>
      <c r="L33" s="94"/>
      <c r="M33" s="101"/>
      <c r="N33" s="113"/>
      <c r="O33" s="101"/>
      <c r="P33" s="113"/>
      <c r="Q33" s="101"/>
      <c r="R33" s="64"/>
      <c r="S33" s="29"/>
      <c r="T33" s="29"/>
      <c r="U33" s="6"/>
    </row>
    <row r="34" spans="1:21" ht="16.5" customHeight="1" x14ac:dyDescent="0.25">
      <c r="A34" s="303" t="s">
        <v>285</v>
      </c>
      <c r="B34" s="304" t="s">
        <v>18</v>
      </c>
      <c r="C34" s="250">
        <v>88279</v>
      </c>
      <c r="D34" s="21" t="s">
        <v>307</v>
      </c>
      <c r="E34" s="22" t="s">
        <v>118</v>
      </c>
      <c r="F34" s="195">
        <v>8</v>
      </c>
      <c r="G34" s="34">
        <v>30.35</v>
      </c>
      <c r="H34" s="93"/>
      <c r="I34" s="34">
        <f>TRUNC(G34*F34,2)</f>
        <v>242.8</v>
      </c>
      <c r="J34" s="34"/>
      <c r="K34" s="34"/>
      <c r="L34" s="94"/>
      <c r="M34" s="101"/>
      <c r="N34" s="113"/>
      <c r="O34" s="101"/>
      <c r="P34" s="113"/>
      <c r="Q34" s="101"/>
      <c r="R34" s="64"/>
      <c r="S34" s="29"/>
      <c r="T34" s="29"/>
      <c r="U34" s="6"/>
    </row>
    <row r="35" spans="1:21" ht="16.5" customHeight="1" x14ac:dyDescent="0.25">
      <c r="A35" s="299" t="s">
        <v>10</v>
      </c>
      <c r="B35" s="300" t="s">
        <v>37</v>
      </c>
      <c r="C35" s="183"/>
      <c r="D35" s="19" t="s">
        <v>136</v>
      </c>
      <c r="E35" s="249" t="s">
        <v>126</v>
      </c>
      <c r="F35" s="337">
        <f>'Planilha Analítica'!F18</f>
        <v>1</v>
      </c>
      <c r="G35" s="92"/>
      <c r="H35" s="92">
        <f>SUM(H36:H39)</f>
        <v>51846.18</v>
      </c>
      <c r="I35" s="92">
        <f>SUM(I36:I39)</f>
        <v>797.28</v>
      </c>
      <c r="J35" s="92">
        <f>I35+H35</f>
        <v>52643.46</v>
      </c>
      <c r="K35" s="92">
        <f>ROUND(H35*$F35,2)</f>
        <v>51846.18</v>
      </c>
      <c r="L35" s="92">
        <f>ROUND(I35*$F35,2)</f>
        <v>797.28</v>
      </c>
      <c r="M35" s="100">
        <f>L35+K35</f>
        <v>52643.46</v>
      </c>
      <c r="N35" s="112">
        <f>$K$5</f>
        <v>0.2111176002216073</v>
      </c>
      <c r="O35" s="100">
        <f>ROUND(H35*(1+$N35),2)</f>
        <v>62791.82</v>
      </c>
      <c r="P35" s="112">
        <f>$J$5</f>
        <v>0.26838623884514634</v>
      </c>
      <c r="Q35" s="100">
        <f>ROUND(I35*(1+$P35),2)</f>
        <v>1011.26</v>
      </c>
      <c r="R35" s="28">
        <f>ROUND(O35*$F35,2)</f>
        <v>62791.82</v>
      </c>
      <c r="S35" s="28">
        <f>ROUND(Q35*$F35,2)</f>
        <v>1011.26</v>
      </c>
      <c r="T35" s="28">
        <f>S35+R35</f>
        <v>63803.08</v>
      </c>
      <c r="U35" s="6"/>
    </row>
    <row r="36" spans="1:21" ht="16.5" customHeight="1" x14ac:dyDescent="0.25">
      <c r="A36" s="303" t="s">
        <v>284</v>
      </c>
      <c r="B36" s="310" t="s">
        <v>21</v>
      </c>
      <c r="C36" s="250" t="s">
        <v>373</v>
      </c>
      <c r="D36" s="21" t="s">
        <v>137</v>
      </c>
      <c r="E36" s="251" t="s">
        <v>126</v>
      </c>
      <c r="F36" s="338">
        <v>1</v>
      </c>
      <c r="G36" s="93">
        <v>51846.18</v>
      </c>
      <c r="H36" s="93">
        <f>TRUNC(G36*F36,2)</f>
        <v>51846.18</v>
      </c>
      <c r="I36" s="93"/>
      <c r="J36" s="93"/>
      <c r="K36" s="93"/>
      <c r="L36" s="94"/>
      <c r="M36" s="101"/>
      <c r="N36" s="113"/>
      <c r="O36" s="101"/>
      <c r="P36" s="113"/>
      <c r="Q36" s="101"/>
      <c r="R36" s="64"/>
      <c r="S36" s="29"/>
      <c r="T36" s="29"/>
      <c r="U36" s="5"/>
    </row>
    <row r="37" spans="1:21" ht="16.5" customHeight="1" x14ac:dyDescent="0.25">
      <c r="A37" s="303" t="s">
        <v>285</v>
      </c>
      <c r="B37" s="304" t="s">
        <v>18</v>
      </c>
      <c r="C37" s="250">
        <v>88266</v>
      </c>
      <c r="D37" s="21" t="s">
        <v>308</v>
      </c>
      <c r="E37" s="22" t="s">
        <v>118</v>
      </c>
      <c r="F37" s="195">
        <v>8</v>
      </c>
      <c r="G37" s="34">
        <v>41.49</v>
      </c>
      <c r="H37" s="34"/>
      <c r="I37" s="34">
        <f>TRUNC(G37*F37,2)</f>
        <v>331.92</v>
      </c>
      <c r="J37" s="34"/>
      <c r="K37" s="34"/>
      <c r="L37" s="94"/>
      <c r="M37" s="101"/>
      <c r="N37" s="113"/>
      <c r="O37" s="101"/>
      <c r="P37" s="113"/>
      <c r="Q37" s="101"/>
      <c r="R37" s="64"/>
      <c r="S37" s="29"/>
      <c r="T37" s="29"/>
      <c r="U37" s="6"/>
    </row>
    <row r="38" spans="1:21" ht="16.5" customHeight="1" x14ac:dyDescent="0.25">
      <c r="A38" s="303" t="s">
        <v>285</v>
      </c>
      <c r="B38" s="304" t="s">
        <v>18</v>
      </c>
      <c r="C38" s="250">
        <v>88247</v>
      </c>
      <c r="D38" s="21" t="s">
        <v>306</v>
      </c>
      <c r="E38" s="22" t="s">
        <v>118</v>
      </c>
      <c r="F38" s="195">
        <v>8</v>
      </c>
      <c r="G38" s="34">
        <v>27.82</v>
      </c>
      <c r="H38" s="34"/>
      <c r="I38" s="34">
        <f>TRUNC(G38*F38,2)</f>
        <v>222.56</v>
      </c>
      <c r="J38" s="34"/>
      <c r="K38" s="34"/>
      <c r="L38" s="94"/>
      <c r="M38" s="101"/>
      <c r="N38" s="113"/>
      <c r="O38" s="101"/>
      <c r="P38" s="113"/>
      <c r="Q38" s="101"/>
      <c r="R38" s="64"/>
      <c r="S38" s="29"/>
      <c r="T38" s="29"/>
      <c r="U38" s="6"/>
    </row>
    <row r="39" spans="1:21" ht="16.5" customHeight="1" x14ac:dyDescent="0.25">
      <c r="A39" s="303" t="s">
        <v>285</v>
      </c>
      <c r="B39" s="304" t="s">
        <v>18</v>
      </c>
      <c r="C39" s="250">
        <v>88279</v>
      </c>
      <c r="D39" s="21" t="s">
        <v>307</v>
      </c>
      <c r="E39" s="22" t="s">
        <v>118</v>
      </c>
      <c r="F39" s="195">
        <v>8</v>
      </c>
      <c r="G39" s="34">
        <v>30.35</v>
      </c>
      <c r="H39" s="93"/>
      <c r="I39" s="34">
        <f>TRUNC(G39*F39,2)</f>
        <v>242.8</v>
      </c>
      <c r="J39" s="34"/>
      <c r="K39" s="34"/>
      <c r="L39" s="94"/>
      <c r="M39" s="101"/>
      <c r="N39" s="113"/>
      <c r="O39" s="101"/>
      <c r="P39" s="113"/>
      <c r="Q39" s="101"/>
      <c r="R39" s="64"/>
      <c r="S39" s="29"/>
      <c r="T39" s="29"/>
      <c r="U39" s="6"/>
    </row>
    <row r="40" spans="1:21" ht="16.5" customHeight="1" x14ac:dyDescent="0.25">
      <c r="A40" s="299" t="s">
        <v>11</v>
      </c>
      <c r="B40" s="300" t="s">
        <v>37</v>
      </c>
      <c r="C40" s="252"/>
      <c r="D40" s="253" t="s">
        <v>138</v>
      </c>
      <c r="E40" s="249" t="s">
        <v>126</v>
      </c>
      <c r="F40" s="337">
        <f>'Planilha Analítica'!F19</f>
        <v>1</v>
      </c>
      <c r="G40" s="92"/>
      <c r="H40" s="92">
        <f>SUM(H41:H44)</f>
        <v>62719.16</v>
      </c>
      <c r="I40" s="92">
        <f>SUM(I41:I44)</f>
        <v>797.28</v>
      </c>
      <c r="J40" s="92">
        <f>I40+H40</f>
        <v>63516.44</v>
      </c>
      <c r="K40" s="92">
        <f>ROUND(H40*$F40,2)</f>
        <v>62719.16</v>
      </c>
      <c r="L40" s="92">
        <f>ROUND(I40*$F40,2)</f>
        <v>797.28</v>
      </c>
      <c r="M40" s="100">
        <f>L40+K40</f>
        <v>63516.44</v>
      </c>
      <c r="N40" s="112">
        <f>$K$5</f>
        <v>0.2111176002216073</v>
      </c>
      <c r="O40" s="100">
        <f>ROUND(H40*(1+$N40),2)</f>
        <v>75960.28</v>
      </c>
      <c r="P40" s="112">
        <f>$J$5</f>
        <v>0.26838623884514634</v>
      </c>
      <c r="Q40" s="100">
        <f>ROUND(I40*(1+$P40),2)</f>
        <v>1011.26</v>
      </c>
      <c r="R40" s="28">
        <f>ROUND(O40*$F40,2)</f>
        <v>75960.28</v>
      </c>
      <c r="S40" s="28">
        <f>ROUND(Q40*$F40,2)</f>
        <v>1011.26</v>
      </c>
      <c r="T40" s="28">
        <f>S40+R40</f>
        <v>76971.539999999994</v>
      </c>
      <c r="U40" s="5"/>
    </row>
    <row r="41" spans="1:21" ht="16.5" customHeight="1" x14ac:dyDescent="0.25">
      <c r="A41" s="303" t="s">
        <v>284</v>
      </c>
      <c r="B41" s="304" t="s">
        <v>21</v>
      </c>
      <c r="C41" s="250" t="s">
        <v>373</v>
      </c>
      <c r="D41" s="23" t="s">
        <v>139</v>
      </c>
      <c r="E41" s="251" t="s">
        <v>126</v>
      </c>
      <c r="F41" s="338">
        <v>1</v>
      </c>
      <c r="G41" s="93">
        <v>62719.16</v>
      </c>
      <c r="H41" s="93">
        <f>TRUNC(G41*F41,2)</f>
        <v>62719.16</v>
      </c>
      <c r="I41" s="93"/>
      <c r="J41" s="93"/>
      <c r="K41" s="93"/>
      <c r="L41" s="94"/>
      <c r="M41" s="101"/>
      <c r="N41" s="113"/>
      <c r="O41" s="101"/>
      <c r="P41" s="113"/>
      <c r="Q41" s="101"/>
      <c r="R41" s="64"/>
      <c r="S41" s="29"/>
      <c r="T41" s="29"/>
      <c r="U41" s="6"/>
    </row>
    <row r="42" spans="1:21" ht="16.5" customHeight="1" x14ac:dyDescent="0.25">
      <c r="A42" s="303" t="s">
        <v>285</v>
      </c>
      <c r="B42" s="304" t="s">
        <v>18</v>
      </c>
      <c r="C42" s="250">
        <v>88266</v>
      </c>
      <c r="D42" s="21" t="s">
        <v>308</v>
      </c>
      <c r="E42" s="22" t="s">
        <v>118</v>
      </c>
      <c r="F42" s="195">
        <v>8</v>
      </c>
      <c r="G42" s="34">
        <v>41.49</v>
      </c>
      <c r="H42" s="34"/>
      <c r="I42" s="34">
        <f>TRUNC(G42*F42,2)</f>
        <v>331.92</v>
      </c>
      <c r="J42" s="34"/>
      <c r="K42" s="34"/>
      <c r="L42" s="94"/>
      <c r="M42" s="101"/>
      <c r="N42" s="113"/>
      <c r="O42" s="101"/>
      <c r="P42" s="113"/>
      <c r="Q42" s="101"/>
      <c r="R42" s="64"/>
      <c r="S42" s="29"/>
      <c r="T42" s="29"/>
      <c r="U42" s="6"/>
    </row>
    <row r="43" spans="1:21" ht="16.5" customHeight="1" x14ac:dyDescent="0.25">
      <c r="A43" s="303" t="s">
        <v>285</v>
      </c>
      <c r="B43" s="304" t="s">
        <v>18</v>
      </c>
      <c r="C43" s="250">
        <v>88247</v>
      </c>
      <c r="D43" s="21" t="s">
        <v>306</v>
      </c>
      <c r="E43" s="22" t="s">
        <v>118</v>
      </c>
      <c r="F43" s="195">
        <v>8</v>
      </c>
      <c r="G43" s="34">
        <v>27.82</v>
      </c>
      <c r="H43" s="34"/>
      <c r="I43" s="34">
        <f>TRUNC(G43*F43,2)</f>
        <v>222.56</v>
      </c>
      <c r="J43" s="34"/>
      <c r="K43" s="34"/>
      <c r="L43" s="94"/>
      <c r="M43" s="101"/>
      <c r="N43" s="113"/>
      <c r="O43" s="101"/>
      <c r="P43" s="113"/>
      <c r="Q43" s="101"/>
      <c r="R43" s="64"/>
      <c r="S43" s="29"/>
      <c r="T43" s="29"/>
      <c r="U43" s="6"/>
    </row>
    <row r="44" spans="1:21" ht="16.5" customHeight="1" x14ac:dyDescent="0.25">
      <c r="A44" s="303" t="s">
        <v>285</v>
      </c>
      <c r="B44" s="304" t="s">
        <v>18</v>
      </c>
      <c r="C44" s="250">
        <v>88279</v>
      </c>
      <c r="D44" s="21" t="s">
        <v>307</v>
      </c>
      <c r="E44" s="22" t="s">
        <v>118</v>
      </c>
      <c r="F44" s="195">
        <v>8</v>
      </c>
      <c r="G44" s="34">
        <v>30.35</v>
      </c>
      <c r="H44" s="93"/>
      <c r="I44" s="34">
        <f>TRUNC(G44*F44,2)</f>
        <v>242.8</v>
      </c>
      <c r="J44" s="34"/>
      <c r="K44" s="34"/>
      <c r="L44" s="94"/>
      <c r="M44" s="101"/>
      <c r="N44" s="113"/>
      <c r="O44" s="101"/>
      <c r="P44" s="113"/>
      <c r="Q44" s="101"/>
      <c r="R44" s="64"/>
      <c r="S44" s="29"/>
      <c r="T44" s="29"/>
      <c r="U44" s="6"/>
    </row>
    <row r="45" spans="1:21" ht="16.5" customHeight="1" x14ac:dyDescent="0.25">
      <c r="A45" s="299" t="s">
        <v>12</v>
      </c>
      <c r="B45" s="300" t="s">
        <v>37</v>
      </c>
      <c r="C45" s="18"/>
      <c r="D45" s="253" t="s">
        <v>425</v>
      </c>
      <c r="E45" s="24" t="s">
        <v>126</v>
      </c>
      <c r="F45" s="197">
        <f>'Planilha Analítica'!F20</f>
        <v>15</v>
      </c>
      <c r="G45" s="89"/>
      <c r="H45" s="92">
        <f>SUM(H46:H49)</f>
        <v>4125</v>
      </c>
      <c r="I45" s="92">
        <f>SUM(I46:I49)</f>
        <v>697.62</v>
      </c>
      <c r="J45" s="92">
        <f>I45+H45</f>
        <v>4822.62</v>
      </c>
      <c r="K45" s="92">
        <f>ROUND(H45*$F45,2)</f>
        <v>61875</v>
      </c>
      <c r="L45" s="92">
        <f>ROUND(I45*$F45,2)</f>
        <v>10464.299999999999</v>
      </c>
      <c r="M45" s="100">
        <f>L45+K45</f>
        <v>72339.3</v>
      </c>
      <c r="N45" s="112">
        <f>$K$5</f>
        <v>0.2111176002216073</v>
      </c>
      <c r="O45" s="100">
        <f>ROUND(H45*(1+$N45),2)</f>
        <v>4995.8599999999997</v>
      </c>
      <c r="P45" s="112">
        <f>$J$5</f>
        <v>0.26838623884514634</v>
      </c>
      <c r="Q45" s="100">
        <f>ROUND(I45*(1+$P45),2)</f>
        <v>884.85</v>
      </c>
      <c r="R45" s="28">
        <f>ROUND(O45*$F45,2)</f>
        <v>74937.899999999994</v>
      </c>
      <c r="S45" s="28">
        <f>ROUND(Q45*$F45,2)</f>
        <v>13272.75</v>
      </c>
      <c r="T45" s="28">
        <f>S45+R45</f>
        <v>88210.65</v>
      </c>
      <c r="U45" s="5"/>
    </row>
    <row r="46" spans="1:21" ht="16.5" customHeight="1" x14ac:dyDescent="0.25">
      <c r="A46" s="303" t="s">
        <v>284</v>
      </c>
      <c r="B46" s="304" t="s">
        <v>21</v>
      </c>
      <c r="C46" s="250" t="s">
        <v>373</v>
      </c>
      <c r="D46" s="27" t="s">
        <v>426</v>
      </c>
      <c r="E46" s="22" t="s">
        <v>126</v>
      </c>
      <c r="F46" s="195">
        <v>1</v>
      </c>
      <c r="G46" s="34">
        <v>4125</v>
      </c>
      <c r="H46" s="93">
        <f>TRUNC(G46*F46,2)</f>
        <v>4125</v>
      </c>
      <c r="I46" s="93"/>
      <c r="J46" s="93"/>
      <c r="K46" s="93"/>
      <c r="L46" s="94"/>
      <c r="M46" s="101"/>
      <c r="N46" s="113"/>
      <c r="O46" s="101"/>
      <c r="P46" s="113"/>
      <c r="Q46" s="101"/>
      <c r="R46" s="64"/>
      <c r="S46" s="29"/>
      <c r="T46" s="29"/>
      <c r="U46" s="6"/>
    </row>
    <row r="47" spans="1:21" ht="16.5" customHeight="1" x14ac:dyDescent="0.25">
      <c r="A47" s="303" t="s">
        <v>285</v>
      </c>
      <c r="B47" s="304" t="s">
        <v>18</v>
      </c>
      <c r="C47" s="250">
        <v>88266</v>
      </c>
      <c r="D47" s="21" t="s">
        <v>308</v>
      </c>
      <c r="E47" s="22" t="s">
        <v>118</v>
      </c>
      <c r="F47" s="195">
        <v>7</v>
      </c>
      <c r="G47" s="34">
        <v>41.49</v>
      </c>
      <c r="H47" s="34"/>
      <c r="I47" s="34">
        <f>TRUNC(G47*F47,2)</f>
        <v>290.43</v>
      </c>
      <c r="J47" s="34"/>
      <c r="K47" s="34"/>
      <c r="L47" s="94"/>
      <c r="M47" s="101"/>
      <c r="N47" s="113"/>
      <c r="O47" s="101"/>
      <c r="P47" s="113"/>
      <c r="Q47" s="101"/>
      <c r="R47" s="64"/>
      <c r="S47" s="29"/>
      <c r="T47" s="29"/>
      <c r="U47" s="6"/>
    </row>
    <row r="48" spans="1:21" ht="16.5" customHeight="1" x14ac:dyDescent="0.25">
      <c r="A48" s="303" t="s">
        <v>285</v>
      </c>
      <c r="B48" s="304" t="s">
        <v>18</v>
      </c>
      <c r="C48" s="250">
        <v>88247</v>
      </c>
      <c r="D48" s="21" t="s">
        <v>306</v>
      </c>
      <c r="E48" s="22" t="s">
        <v>118</v>
      </c>
      <c r="F48" s="195">
        <v>7</v>
      </c>
      <c r="G48" s="34">
        <v>27.82</v>
      </c>
      <c r="H48" s="34"/>
      <c r="I48" s="34">
        <f>TRUNC(G48*F48,2)</f>
        <v>194.74</v>
      </c>
      <c r="J48" s="34"/>
      <c r="K48" s="34"/>
      <c r="L48" s="94"/>
      <c r="M48" s="101"/>
      <c r="N48" s="113"/>
      <c r="O48" s="101"/>
      <c r="P48" s="113"/>
      <c r="Q48" s="101"/>
      <c r="R48" s="64"/>
      <c r="S48" s="29"/>
      <c r="T48" s="29"/>
      <c r="U48" s="6"/>
    </row>
    <row r="49" spans="1:21" ht="16.5" customHeight="1" x14ac:dyDescent="0.25">
      <c r="A49" s="303" t="s">
        <v>285</v>
      </c>
      <c r="B49" s="304" t="s">
        <v>18</v>
      </c>
      <c r="C49" s="250">
        <v>88279</v>
      </c>
      <c r="D49" s="21" t="s">
        <v>307</v>
      </c>
      <c r="E49" s="22" t="s">
        <v>118</v>
      </c>
      <c r="F49" s="195">
        <v>7</v>
      </c>
      <c r="G49" s="34">
        <v>30.35</v>
      </c>
      <c r="H49" s="93"/>
      <c r="I49" s="34">
        <f>TRUNC(G49*F49,2)</f>
        <v>212.45</v>
      </c>
      <c r="J49" s="34"/>
      <c r="K49" s="34"/>
      <c r="L49" s="94"/>
      <c r="M49" s="101"/>
      <c r="N49" s="113"/>
      <c r="O49" s="101"/>
      <c r="P49" s="113"/>
      <c r="Q49" s="101"/>
      <c r="R49" s="64"/>
      <c r="S49" s="29"/>
      <c r="T49" s="29"/>
      <c r="U49" s="6"/>
    </row>
    <row r="50" spans="1:21" ht="16.5" customHeight="1" x14ac:dyDescent="0.25">
      <c r="A50" s="299" t="s">
        <v>13</v>
      </c>
      <c r="B50" s="300" t="s">
        <v>37</v>
      </c>
      <c r="C50" s="252"/>
      <c r="D50" s="253" t="s">
        <v>141</v>
      </c>
      <c r="E50" s="24" t="s">
        <v>126</v>
      </c>
      <c r="F50" s="337">
        <f>'Planilha Analítica'!F21</f>
        <v>2</v>
      </c>
      <c r="G50" s="92"/>
      <c r="H50" s="92">
        <f>SUM(H51:H53)</f>
        <v>455.59</v>
      </c>
      <c r="I50" s="92">
        <f>SUM(I51:I53)</f>
        <v>76.78</v>
      </c>
      <c r="J50" s="92">
        <f>I50+H50</f>
        <v>532.37</v>
      </c>
      <c r="K50" s="92">
        <f>ROUND(H50*$F50,2)</f>
        <v>911.18</v>
      </c>
      <c r="L50" s="92">
        <f>ROUND(I50*$F50,2)</f>
        <v>153.56</v>
      </c>
      <c r="M50" s="100">
        <f>L50+K50</f>
        <v>1064.74</v>
      </c>
      <c r="N50" s="112">
        <f>$K$5</f>
        <v>0.2111176002216073</v>
      </c>
      <c r="O50" s="100">
        <f>ROUND(H50*(1+$N50),2)</f>
        <v>551.77</v>
      </c>
      <c r="P50" s="112">
        <f>$J$5</f>
        <v>0.26838623884514634</v>
      </c>
      <c r="Q50" s="100">
        <f>ROUND(I50*(1+$P50),2)</f>
        <v>97.39</v>
      </c>
      <c r="R50" s="28">
        <f>ROUND(O50*$F50,2)</f>
        <v>1103.54</v>
      </c>
      <c r="S50" s="28">
        <f>ROUND(Q50*$F50,2)</f>
        <v>194.78</v>
      </c>
      <c r="T50" s="28">
        <f>S50+R50</f>
        <v>1298.32</v>
      </c>
      <c r="U50" s="6"/>
    </row>
    <row r="51" spans="1:21" ht="16.5" customHeight="1" x14ac:dyDescent="0.25">
      <c r="A51" s="303" t="s">
        <v>284</v>
      </c>
      <c r="B51" s="304" t="s">
        <v>21</v>
      </c>
      <c r="C51" s="250" t="s">
        <v>373</v>
      </c>
      <c r="D51" s="23" t="s">
        <v>142</v>
      </c>
      <c r="E51" s="22" t="s">
        <v>126</v>
      </c>
      <c r="F51" s="338">
        <v>1</v>
      </c>
      <c r="G51" s="93">
        <v>455.59</v>
      </c>
      <c r="H51" s="93">
        <f>TRUNC(G51*F51,2)</f>
        <v>455.59</v>
      </c>
      <c r="I51" s="93"/>
      <c r="J51" s="93"/>
      <c r="K51" s="93"/>
      <c r="L51" s="94"/>
      <c r="M51" s="101"/>
      <c r="N51" s="113"/>
      <c r="O51" s="101"/>
      <c r="P51" s="113"/>
      <c r="Q51" s="101"/>
      <c r="R51" s="64"/>
      <c r="S51" s="29"/>
      <c r="T51" s="29"/>
      <c r="U51" s="6"/>
    </row>
    <row r="52" spans="1:21" ht="16.5" customHeight="1" x14ac:dyDescent="0.25">
      <c r="A52" s="303" t="s">
        <v>285</v>
      </c>
      <c r="B52" s="304" t="s">
        <v>18</v>
      </c>
      <c r="C52" s="250">
        <v>88279</v>
      </c>
      <c r="D52" s="21" t="s">
        <v>143</v>
      </c>
      <c r="E52" s="22" t="s">
        <v>118</v>
      </c>
      <c r="F52" s="195">
        <v>1.17</v>
      </c>
      <c r="G52" s="34">
        <v>30.35</v>
      </c>
      <c r="H52" s="34"/>
      <c r="I52" s="34">
        <f>TRUNC(G52*F52,2)</f>
        <v>35.5</v>
      </c>
      <c r="J52" s="34"/>
      <c r="K52" s="34"/>
      <c r="L52" s="94"/>
      <c r="M52" s="101"/>
      <c r="N52" s="113"/>
      <c r="O52" s="101"/>
      <c r="P52" s="113"/>
      <c r="Q52" s="101"/>
      <c r="R52" s="64"/>
      <c r="S52" s="29"/>
      <c r="T52" s="29"/>
      <c r="U52" s="6"/>
    </row>
    <row r="53" spans="1:21" ht="16.5" customHeight="1" x14ac:dyDescent="0.25">
      <c r="A53" s="303" t="s">
        <v>285</v>
      </c>
      <c r="B53" s="304" t="s">
        <v>18</v>
      </c>
      <c r="C53" s="250">
        <v>88275</v>
      </c>
      <c r="D53" s="21" t="s">
        <v>144</v>
      </c>
      <c r="E53" s="22" t="s">
        <v>118</v>
      </c>
      <c r="F53" s="195">
        <v>1.17</v>
      </c>
      <c r="G53" s="34">
        <v>35.29</v>
      </c>
      <c r="H53" s="34"/>
      <c r="I53" s="34">
        <f>TRUNC(G53*F53,2)</f>
        <v>41.28</v>
      </c>
      <c r="J53" s="34"/>
      <c r="K53" s="34"/>
      <c r="L53" s="94"/>
      <c r="M53" s="101"/>
      <c r="N53" s="113"/>
      <c r="O53" s="101"/>
      <c r="P53" s="113"/>
      <c r="Q53" s="101"/>
      <c r="R53" s="64"/>
      <c r="S53" s="29"/>
      <c r="T53" s="29"/>
      <c r="U53" s="6"/>
    </row>
    <row r="54" spans="1:21" ht="16.5" customHeight="1" x14ac:dyDescent="0.25">
      <c r="A54" s="299" t="s">
        <v>14</v>
      </c>
      <c r="B54" s="300" t="s">
        <v>37</v>
      </c>
      <c r="C54" s="252"/>
      <c r="D54" s="253" t="s">
        <v>145</v>
      </c>
      <c r="E54" s="24" t="s">
        <v>126</v>
      </c>
      <c r="F54" s="337">
        <f>'Planilha Analítica'!F22</f>
        <v>1</v>
      </c>
      <c r="G54" s="92"/>
      <c r="H54" s="92">
        <f>SUM(H55:H57)</f>
        <v>473.13</v>
      </c>
      <c r="I54" s="92">
        <f>SUM(I55:I57)</f>
        <v>76.78</v>
      </c>
      <c r="J54" s="92">
        <f>I54+H54</f>
        <v>549.91</v>
      </c>
      <c r="K54" s="92">
        <f>ROUND(H54*$F54,2)</f>
        <v>473.13</v>
      </c>
      <c r="L54" s="92">
        <f>ROUND(I54*$F54,2)</f>
        <v>76.78</v>
      </c>
      <c r="M54" s="100">
        <f>L54+K54</f>
        <v>549.91</v>
      </c>
      <c r="N54" s="112">
        <f>$K$5</f>
        <v>0.2111176002216073</v>
      </c>
      <c r="O54" s="100">
        <f>ROUND(H54*(1+$N54),2)</f>
        <v>573.02</v>
      </c>
      <c r="P54" s="112">
        <f>$J$5</f>
        <v>0.26838623884514634</v>
      </c>
      <c r="Q54" s="100">
        <f>ROUND(I54*(1+$P54),2)</f>
        <v>97.39</v>
      </c>
      <c r="R54" s="28">
        <f>ROUND(O54*$F54,2)</f>
        <v>573.02</v>
      </c>
      <c r="S54" s="28">
        <f>ROUND(Q54*$F54,2)</f>
        <v>97.39</v>
      </c>
      <c r="T54" s="28">
        <f>S54+R54</f>
        <v>670.41</v>
      </c>
      <c r="U54" s="6"/>
    </row>
    <row r="55" spans="1:21" ht="16.5" customHeight="1" x14ac:dyDescent="0.25">
      <c r="A55" s="303" t="s">
        <v>284</v>
      </c>
      <c r="B55" s="304" t="s">
        <v>21</v>
      </c>
      <c r="C55" s="250" t="s">
        <v>373</v>
      </c>
      <c r="D55" s="23" t="s">
        <v>146</v>
      </c>
      <c r="E55" s="22" t="s">
        <v>126</v>
      </c>
      <c r="F55" s="338">
        <v>1</v>
      </c>
      <c r="G55" s="93">
        <v>473.13</v>
      </c>
      <c r="H55" s="93">
        <f>TRUNC(G55*F55,2)</f>
        <v>473.13</v>
      </c>
      <c r="I55" s="93"/>
      <c r="J55" s="93"/>
      <c r="K55" s="93"/>
      <c r="L55" s="94"/>
      <c r="M55" s="101"/>
      <c r="N55" s="113"/>
      <c r="O55" s="101"/>
      <c r="P55" s="113"/>
      <c r="Q55" s="101"/>
      <c r="R55" s="64"/>
      <c r="S55" s="29"/>
      <c r="T55" s="29"/>
      <c r="U55" s="6"/>
    </row>
    <row r="56" spans="1:21" ht="16.5" customHeight="1" x14ac:dyDescent="0.25">
      <c r="A56" s="303" t="s">
        <v>285</v>
      </c>
      <c r="B56" s="304" t="s">
        <v>18</v>
      </c>
      <c r="C56" s="250">
        <v>88279</v>
      </c>
      <c r="D56" s="21" t="s">
        <v>143</v>
      </c>
      <c r="E56" s="22" t="s">
        <v>118</v>
      </c>
      <c r="F56" s="195">
        <v>1.17</v>
      </c>
      <c r="G56" s="34">
        <v>30.35</v>
      </c>
      <c r="H56" s="34"/>
      <c r="I56" s="34">
        <f>TRUNC(G56*F56,2)</f>
        <v>35.5</v>
      </c>
      <c r="J56" s="34"/>
      <c r="K56" s="34"/>
      <c r="L56" s="94"/>
      <c r="M56" s="101"/>
      <c r="N56" s="113"/>
      <c r="O56" s="101"/>
      <c r="P56" s="113"/>
      <c r="Q56" s="101"/>
      <c r="R56" s="64"/>
      <c r="S56" s="29"/>
      <c r="T56" s="29"/>
      <c r="U56" s="6"/>
    </row>
    <row r="57" spans="1:21" ht="16.5" customHeight="1" x14ac:dyDescent="0.25">
      <c r="A57" s="303" t="s">
        <v>285</v>
      </c>
      <c r="B57" s="304" t="s">
        <v>18</v>
      </c>
      <c r="C57" s="250">
        <v>88275</v>
      </c>
      <c r="D57" s="21" t="s">
        <v>144</v>
      </c>
      <c r="E57" s="22" t="s">
        <v>118</v>
      </c>
      <c r="F57" s="195">
        <v>1.17</v>
      </c>
      <c r="G57" s="34">
        <v>35.29</v>
      </c>
      <c r="H57" s="34"/>
      <c r="I57" s="34">
        <f>TRUNC(G57*F57,2)</f>
        <v>41.28</v>
      </c>
      <c r="J57" s="34"/>
      <c r="K57" s="34"/>
      <c r="L57" s="94"/>
      <c r="M57" s="101"/>
      <c r="N57" s="113"/>
      <c r="O57" s="101"/>
      <c r="P57" s="113"/>
      <c r="Q57" s="101"/>
      <c r="R57" s="64"/>
      <c r="S57" s="29"/>
      <c r="T57" s="29"/>
      <c r="U57" s="6"/>
    </row>
    <row r="58" spans="1:21" ht="16.5" customHeight="1" x14ac:dyDescent="0.25">
      <c r="A58" s="299" t="s">
        <v>278</v>
      </c>
      <c r="B58" s="300" t="s">
        <v>37</v>
      </c>
      <c r="C58" s="252"/>
      <c r="D58" s="253" t="s">
        <v>147</v>
      </c>
      <c r="E58" s="24" t="s">
        <v>126</v>
      </c>
      <c r="F58" s="337">
        <f>'Planilha Analítica'!F23</f>
        <v>6</v>
      </c>
      <c r="G58" s="92"/>
      <c r="H58" s="92">
        <f>SUM(H59:H61)</f>
        <v>735.95</v>
      </c>
      <c r="I58" s="92">
        <f>SUM(I59:I61)</f>
        <v>76.78</v>
      </c>
      <c r="J58" s="92">
        <f>I58+H58</f>
        <v>812.73</v>
      </c>
      <c r="K58" s="92">
        <f>ROUND(H58*$F58,2)</f>
        <v>4415.7</v>
      </c>
      <c r="L58" s="92">
        <f>ROUND(I58*$F58,2)</f>
        <v>460.68</v>
      </c>
      <c r="M58" s="100">
        <f>L58+K58</f>
        <v>4876.38</v>
      </c>
      <c r="N58" s="112">
        <f>$K$5</f>
        <v>0.2111176002216073</v>
      </c>
      <c r="O58" s="100">
        <f>ROUND(H58*(1+$N58),2)</f>
        <v>891.32</v>
      </c>
      <c r="P58" s="112">
        <f>$J$5</f>
        <v>0.26838623884514634</v>
      </c>
      <c r="Q58" s="100">
        <f>ROUND(I58*(1+$P58),2)</f>
        <v>97.39</v>
      </c>
      <c r="R58" s="28">
        <f>ROUND(O58*$F58,2)</f>
        <v>5347.92</v>
      </c>
      <c r="S58" s="28">
        <f>ROUND(Q58*$F58,2)</f>
        <v>584.34</v>
      </c>
      <c r="T58" s="28">
        <f>S58+R58</f>
        <v>5932.26</v>
      </c>
      <c r="U58" s="6"/>
    </row>
    <row r="59" spans="1:21" ht="16.5" customHeight="1" x14ac:dyDescent="0.25">
      <c r="A59" s="303" t="s">
        <v>284</v>
      </c>
      <c r="B59" s="304" t="s">
        <v>21</v>
      </c>
      <c r="C59" s="250" t="s">
        <v>373</v>
      </c>
      <c r="D59" s="23" t="s">
        <v>148</v>
      </c>
      <c r="E59" s="22" t="s">
        <v>126</v>
      </c>
      <c r="F59" s="338">
        <v>1</v>
      </c>
      <c r="G59" s="93">
        <v>735.95</v>
      </c>
      <c r="H59" s="93">
        <f>TRUNC(G59*F59,2)</f>
        <v>735.95</v>
      </c>
      <c r="I59" s="93"/>
      <c r="J59" s="93"/>
      <c r="K59" s="93"/>
      <c r="L59" s="94"/>
      <c r="M59" s="101"/>
      <c r="N59" s="113"/>
      <c r="O59" s="101"/>
      <c r="P59" s="113"/>
      <c r="Q59" s="101"/>
      <c r="R59" s="64"/>
      <c r="S59" s="29"/>
      <c r="T59" s="29"/>
      <c r="U59" s="6"/>
    </row>
    <row r="60" spans="1:21" ht="16.5" customHeight="1" x14ac:dyDescent="0.25">
      <c r="A60" s="303" t="s">
        <v>285</v>
      </c>
      <c r="B60" s="304" t="s">
        <v>18</v>
      </c>
      <c r="C60" s="250">
        <v>88279</v>
      </c>
      <c r="D60" s="21" t="s">
        <v>143</v>
      </c>
      <c r="E60" s="22" t="s">
        <v>118</v>
      </c>
      <c r="F60" s="195">
        <v>1.17</v>
      </c>
      <c r="G60" s="34">
        <v>30.35</v>
      </c>
      <c r="H60" s="34"/>
      <c r="I60" s="34">
        <f>TRUNC(G60*F60,2)</f>
        <v>35.5</v>
      </c>
      <c r="J60" s="34"/>
      <c r="K60" s="34"/>
      <c r="L60" s="94"/>
      <c r="M60" s="101"/>
      <c r="N60" s="113"/>
      <c r="O60" s="101"/>
      <c r="P60" s="113"/>
      <c r="Q60" s="101"/>
      <c r="R60" s="64"/>
      <c r="S60" s="29"/>
      <c r="T60" s="29"/>
      <c r="U60" s="6"/>
    </row>
    <row r="61" spans="1:21" ht="16.5" customHeight="1" x14ac:dyDescent="0.25">
      <c r="A61" s="303" t="s">
        <v>285</v>
      </c>
      <c r="B61" s="304" t="s">
        <v>18</v>
      </c>
      <c r="C61" s="250">
        <v>88275</v>
      </c>
      <c r="D61" s="21" t="s">
        <v>144</v>
      </c>
      <c r="E61" s="22" t="s">
        <v>118</v>
      </c>
      <c r="F61" s="195">
        <v>1.17</v>
      </c>
      <c r="G61" s="34">
        <v>35.29</v>
      </c>
      <c r="H61" s="34"/>
      <c r="I61" s="34">
        <f>TRUNC(G61*F61,2)</f>
        <v>41.28</v>
      </c>
      <c r="J61" s="34"/>
      <c r="K61" s="34"/>
      <c r="L61" s="94"/>
      <c r="M61" s="101"/>
      <c r="N61" s="113"/>
      <c r="O61" s="101"/>
      <c r="P61" s="113"/>
      <c r="Q61" s="101"/>
      <c r="R61" s="64"/>
      <c r="S61" s="29"/>
      <c r="T61" s="29"/>
      <c r="U61" s="6"/>
    </row>
    <row r="62" spans="1:21" ht="16.5" customHeight="1" x14ac:dyDescent="0.25">
      <c r="A62" s="299" t="s">
        <v>15</v>
      </c>
      <c r="B62" s="300" t="s">
        <v>37</v>
      </c>
      <c r="C62" s="183"/>
      <c r="D62" s="19" t="s">
        <v>149</v>
      </c>
      <c r="E62" s="24" t="s">
        <v>126</v>
      </c>
      <c r="F62" s="337">
        <f>'Planilha Analítica'!F24</f>
        <v>5</v>
      </c>
      <c r="G62" s="92"/>
      <c r="H62" s="92">
        <f>SUM(H63:H65)</f>
        <v>1314.22</v>
      </c>
      <c r="I62" s="92">
        <f>SUM(I63:I65)</f>
        <v>76.78</v>
      </c>
      <c r="J62" s="92">
        <f>I62+H62</f>
        <v>1391</v>
      </c>
      <c r="K62" s="92">
        <f>ROUND(H62*$F62,2)</f>
        <v>6571.1</v>
      </c>
      <c r="L62" s="92">
        <f>ROUND(I62*$F62,2)</f>
        <v>383.9</v>
      </c>
      <c r="M62" s="100">
        <f>L62+K62</f>
        <v>6955</v>
      </c>
      <c r="N62" s="112">
        <f>$K$5</f>
        <v>0.2111176002216073</v>
      </c>
      <c r="O62" s="100">
        <f>ROUND(H62*(1+$N62),2)</f>
        <v>1591.67</v>
      </c>
      <c r="P62" s="112">
        <f>$J$5</f>
        <v>0.26838623884514634</v>
      </c>
      <c r="Q62" s="100">
        <f>ROUND(I62*(1+$P62),2)</f>
        <v>97.39</v>
      </c>
      <c r="R62" s="28">
        <f>ROUND(O62*$F62,2)</f>
        <v>7958.35</v>
      </c>
      <c r="S62" s="28">
        <f>ROUND(Q62*$F62,2)</f>
        <v>486.95</v>
      </c>
      <c r="T62" s="28">
        <f>S62+R62</f>
        <v>8445.3000000000011</v>
      </c>
      <c r="U62" s="6"/>
    </row>
    <row r="63" spans="1:21" ht="16.5" customHeight="1" x14ac:dyDescent="0.25">
      <c r="A63" s="303" t="s">
        <v>284</v>
      </c>
      <c r="B63" s="304" t="s">
        <v>21</v>
      </c>
      <c r="C63" s="250" t="s">
        <v>373</v>
      </c>
      <c r="D63" s="23" t="s">
        <v>150</v>
      </c>
      <c r="E63" s="22" t="s">
        <v>126</v>
      </c>
      <c r="F63" s="195">
        <v>1</v>
      </c>
      <c r="G63" s="93">
        <v>1314.22</v>
      </c>
      <c r="H63" s="93">
        <f>TRUNC(G63*F63,2)</f>
        <v>1314.22</v>
      </c>
      <c r="I63" s="93"/>
      <c r="J63" s="93"/>
      <c r="K63" s="93"/>
      <c r="L63" s="94"/>
      <c r="M63" s="101"/>
      <c r="N63" s="113"/>
      <c r="O63" s="101"/>
      <c r="P63" s="113"/>
      <c r="Q63" s="101"/>
      <c r="R63" s="64"/>
      <c r="S63" s="29"/>
      <c r="T63" s="29"/>
      <c r="U63" s="6"/>
    </row>
    <row r="64" spans="1:21" ht="16.5" customHeight="1" x14ac:dyDescent="0.25">
      <c r="A64" s="303" t="s">
        <v>285</v>
      </c>
      <c r="B64" s="304" t="s">
        <v>18</v>
      </c>
      <c r="C64" s="250">
        <v>88279</v>
      </c>
      <c r="D64" s="21" t="s">
        <v>143</v>
      </c>
      <c r="E64" s="22" t="s">
        <v>118</v>
      </c>
      <c r="F64" s="195">
        <v>1.17</v>
      </c>
      <c r="G64" s="34">
        <v>30.35</v>
      </c>
      <c r="H64" s="34"/>
      <c r="I64" s="34">
        <f>TRUNC(G64*F64,2)</f>
        <v>35.5</v>
      </c>
      <c r="J64" s="34"/>
      <c r="K64" s="34"/>
      <c r="L64" s="94"/>
      <c r="M64" s="101"/>
      <c r="N64" s="113"/>
      <c r="O64" s="101"/>
      <c r="P64" s="113"/>
      <c r="Q64" s="101"/>
      <c r="R64" s="64"/>
      <c r="S64" s="29"/>
      <c r="T64" s="29"/>
      <c r="U64" s="6"/>
    </row>
    <row r="65" spans="1:21" ht="16.5" customHeight="1" x14ac:dyDescent="0.25">
      <c r="A65" s="303" t="s">
        <v>285</v>
      </c>
      <c r="B65" s="304" t="s">
        <v>18</v>
      </c>
      <c r="C65" s="250">
        <v>88275</v>
      </c>
      <c r="D65" s="21" t="s">
        <v>144</v>
      </c>
      <c r="E65" s="22" t="s">
        <v>118</v>
      </c>
      <c r="F65" s="195">
        <v>1.17</v>
      </c>
      <c r="G65" s="34">
        <v>35.29</v>
      </c>
      <c r="H65" s="34"/>
      <c r="I65" s="34">
        <f>TRUNC(G65*F65,2)</f>
        <v>41.28</v>
      </c>
      <c r="J65" s="34"/>
      <c r="K65" s="34"/>
      <c r="L65" s="94"/>
      <c r="M65" s="101"/>
      <c r="N65" s="113"/>
      <c r="O65" s="101"/>
      <c r="P65" s="113"/>
      <c r="Q65" s="101"/>
      <c r="R65" s="64"/>
      <c r="S65" s="29"/>
      <c r="T65" s="29"/>
      <c r="U65" s="6"/>
    </row>
    <row r="66" spans="1:21" ht="16.5" customHeight="1" x14ac:dyDescent="0.25">
      <c r="A66" s="299" t="s">
        <v>16</v>
      </c>
      <c r="B66" s="300" t="s">
        <v>37</v>
      </c>
      <c r="C66" s="183"/>
      <c r="D66" s="19" t="s">
        <v>151</v>
      </c>
      <c r="E66" s="24" t="s">
        <v>126</v>
      </c>
      <c r="F66" s="337">
        <f>'Planilha Analítica'!F25</f>
        <v>5</v>
      </c>
      <c r="G66" s="92"/>
      <c r="H66" s="92">
        <f>SUM(H67:H69)</f>
        <v>490.64</v>
      </c>
      <c r="I66" s="92">
        <f>SUM(I67:I69)</f>
        <v>76.78</v>
      </c>
      <c r="J66" s="92">
        <f>I66+H66</f>
        <v>567.41999999999996</v>
      </c>
      <c r="K66" s="92">
        <f>ROUND(H66*$F66,2)</f>
        <v>2453.1999999999998</v>
      </c>
      <c r="L66" s="92">
        <f>ROUND(I66*$F66,2)</f>
        <v>383.9</v>
      </c>
      <c r="M66" s="100">
        <f>L66+K66</f>
        <v>2837.1</v>
      </c>
      <c r="N66" s="112">
        <f>$K$5</f>
        <v>0.2111176002216073</v>
      </c>
      <c r="O66" s="100">
        <f>ROUND(H66*(1+$N66),2)</f>
        <v>594.22</v>
      </c>
      <c r="P66" s="112">
        <f>$J$5</f>
        <v>0.26838623884514634</v>
      </c>
      <c r="Q66" s="100">
        <f>ROUND(I66*(1+$P66),2)</f>
        <v>97.39</v>
      </c>
      <c r="R66" s="28">
        <f>ROUND(O66*$F66,2)</f>
        <v>2971.1</v>
      </c>
      <c r="S66" s="28">
        <f>ROUND(Q66*$F66,2)</f>
        <v>486.95</v>
      </c>
      <c r="T66" s="28">
        <f>S66+R66</f>
        <v>3458.0499999999997</v>
      </c>
      <c r="U66" s="6"/>
    </row>
    <row r="67" spans="1:21" ht="16.5" customHeight="1" x14ac:dyDescent="0.25">
      <c r="A67" s="303" t="s">
        <v>284</v>
      </c>
      <c r="B67" s="304" t="s">
        <v>21</v>
      </c>
      <c r="C67" s="250" t="s">
        <v>373</v>
      </c>
      <c r="D67" s="23" t="s">
        <v>152</v>
      </c>
      <c r="E67" s="22" t="s">
        <v>126</v>
      </c>
      <c r="F67" s="195">
        <v>1</v>
      </c>
      <c r="G67" s="93">
        <v>490.64</v>
      </c>
      <c r="H67" s="93">
        <f>TRUNC(G67*F67,2)</f>
        <v>490.64</v>
      </c>
      <c r="I67" s="93"/>
      <c r="J67" s="93"/>
      <c r="K67" s="93"/>
      <c r="L67" s="94"/>
      <c r="M67" s="101"/>
      <c r="N67" s="113"/>
      <c r="O67" s="101"/>
      <c r="P67" s="113"/>
      <c r="Q67" s="101"/>
      <c r="R67" s="64"/>
      <c r="S67" s="29"/>
      <c r="T67" s="29"/>
      <c r="U67" s="6"/>
    </row>
    <row r="68" spans="1:21" ht="16.5" customHeight="1" x14ac:dyDescent="0.25">
      <c r="A68" s="303" t="s">
        <v>285</v>
      </c>
      <c r="B68" s="304" t="s">
        <v>18</v>
      </c>
      <c r="C68" s="250">
        <v>88279</v>
      </c>
      <c r="D68" s="21" t="s">
        <v>143</v>
      </c>
      <c r="E68" s="22" t="s">
        <v>118</v>
      </c>
      <c r="F68" s="195">
        <v>1.17</v>
      </c>
      <c r="G68" s="34">
        <v>30.35</v>
      </c>
      <c r="H68" s="34"/>
      <c r="I68" s="34">
        <f>TRUNC(G68*F68,2)</f>
        <v>35.5</v>
      </c>
      <c r="J68" s="34"/>
      <c r="K68" s="34"/>
      <c r="L68" s="94"/>
      <c r="M68" s="101"/>
      <c r="N68" s="113"/>
      <c r="O68" s="101"/>
      <c r="P68" s="113"/>
      <c r="Q68" s="101"/>
      <c r="R68" s="64"/>
      <c r="S68" s="29"/>
      <c r="T68" s="29"/>
      <c r="U68" s="6"/>
    </row>
    <row r="69" spans="1:21" ht="16.5" customHeight="1" x14ac:dyDescent="0.25">
      <c r="A69" s="303" t="s">
        <v>285</v>
      </c>
      <c r="B69" s="304" t="s">
        <v>18</v>
      </c>
      <c r="C69" s="250">
        <v>88275</v>
      </c>
      <c r="D69" s="21" t="s">
        <v>144</v>
      </c>
      <c r="E69" s="22" t="s">
        <v>118</v>
      </c>
      <c r="F69" s="195">
        <v>1.17</v>
      </c>
      <c r="G69" s="34">
        <v>35.29</v>
      </c>
      <c r="H69" s="34"/>
      <c r="I69" s="34">
        <f>TRUNC(G69*F69,2)</f>
        <v>41.28</v>
      </c>
      <c r="J69" s="34"/>
      <c r="K69" s="34"/>
      <c r="L69" s="94"/>
      <c r="M69" s="101"/>
      <c r="N69" s="113"/>
      <c r="O69" s="101"/>
      <c r="P69" s="113"/>
      <c r="Q69" s="101"/>
      <c r="R69" s="64"/>
      <c r="S69" s="29"/>
      <c r="T69" s="29"/>
      <c r="U69" s="6"/>
    </row>
    <row r="70" spans="1:21" ht="16.5" customHeight="1" x14ac:dyDescent="0.25">
      <c r="A70" s="299" t="s">
        <v>35</v>
      </c>
      <c r="B70" s="311" t="s">
        <v>37</v>
      </c>
      <c r="C70" s="254"/>
      <c r="D70" s="253" t="s">
        <v>359</v>
      </c>
      <c r="E70" s="24" t="s">
        <v>126</v>
      </c>
      <c r="F70" s="337">
        <f>'Planilha Analítica'!F26</f>
        <v>1</v>
      </c>
      <c r="G70" s="92"/>
      <c r="H70" s="92">
        <f>SUM(H71:H73)</f>
        <v>1769.87</v>
      </c>
      <c r="I70" s="92">
        <f>SUM(I71:I73)</f>
        <v>91.89</v>
      </c>
      <c r="J70" s="92">
        <f>I70+H70</f>
        <v>1861.76</v>
      </c>
      <c r="K70" s="92">
        <f>ROUND(H70*$F70,2)</f>
        <v>1769.87</v>
      </c>
      <c r="L70" s="92">
        <f>ROUND(I70*$F70,2)</f>
        <v>91.89</v>
      </c>
      <c r="M70" s="100">
        <f>L70+K70</f>
        <v>1861.76</v>
      </c>
      <c r="N70" s="112">
        <f>$K$5</f>
        <v>0.2111176002216073</v>
      </c>
      <c r="O70" s="100">
        <f>ROUND(H70*(1+$N70),2)</f>
        <v>2143.52</v>
      </c>
      <c r="P70" s="112">
        <f>$J$5</f>
        <v>0.26838623884514634</v>
      </c>
      <c r="Q70" s="100">
        <f>ROUND(I70*(1+$P70),2)</f>
        <v>116.55</v>
      </c>
      <c r="R70" s="28">
        <f>ROUND(O70*$F70,2)</f>
        <v>2143.52</v>
      </c>
      <c r="S70" s="28">
        <f>ROUND(Q70*$F70,2)</f>
        <v>116.55</v>
      </c>
      <c r="T70" s="28">
        <f>S70+R70</f>
        <v>2260.0700000000002</v>
      </c>
      <c r="U70" s="6"/>
    </row>
    <row r="71" spans="1:21" ht="16.5" customHeight="1" x14ac:dyDescent="0.25">
      <c r="A71" s="303" t="s">
        <v>284</v>
      </c>
      <c r="B71" s="310" t="s">
        <v>153</v>
      </c>
      <c r="C71" s="250" t="s">
        <v>373</v>
      </c>
      <c r="D71" s="23" t="s">
        <v>427</v>
      </c>
      <c r="E71" s="22" t="s">
        <v>126</v>
      </c>
      <c r="F71" s="338">
        <v>1</v>
      </c>
      <c r="G71" s="93">
        <v>1769.87</v>
      </c>
      <c r="H71" s="93">
        <f>TRUNC(G71*F71,2)</f>
        <v>1769.87</v>
      </c>
      <c r="I71" s="93"/>
      <c r="J71" s="93"/>
      <c r="K71" s="93"/>
      <c r="L71" s="94"/>
      <c r="M71" s="101"/>
      <c r="N71" s="113"/>
      <c r="O71" s="101"/>
      <c r="P71" s="113"/>
      <c r="Q71" s="101"/>
      <c r="R71" s="64"/>
      <c r="S71" s="29"/>
      <c r="T71" s="29"/>
      <c r="U71" s="6"/>
    </row>
    <row r="72" spans="1:21" ht="16.5" customHeight="1" x14ac:dyDescent="0.25">
      <c r="A72" s="303" t="s">
        <v>285</v>
      </c>
      <c r="B72" s="304" t="s">
        <v>18</v>
      </c>
      <c r="C72" s="250">
        <v>88279</v>
      </c>
      <c r="D72" s="21" t="s">
        <v>143</v>
      </c>
      <c r="E72" s="22" t="s">
        <v>118</v>
      </c>
      <c r="F72" s="195">
        <v>1.4</v>
      </c>
      <c r="G72" s="34">
        <v>30.35</v>
      </c>
      <c r="H72" s="34"/>
      <c r="I72" s="34">
        <f>TRUNC(G72*F72,2)</f>
        <v>42.49</v>
      </c>
      <c r="J72" s="34"/>
      <c r="K72" s="34"/>
      <c r="L72" s="94"/>
      <c r="M72" s="101"/>
      <c r="N72" s="113"/>
      <c r="O72" s="101"/>
      <c r="P72" s="113"/>
      <c r="Q72" s="101"/>
      <c r="R72" s="64"/>
      <c r="S72" s="29"/>
      <c r="T72" s="29"/>
      <c r="U72" s="6"/>
    </row>
    <row r="73" spans="1:21" ht="16.5" customHeight="1" x14ac:dyDescent="0.25">
      <c r="A73" s="303" t="s">
        <v>285</v>
      </c>
      <c r="B73" s="304" t="s">
        <v>18</v>
      </c>
      <c r="C73" s="250">
        <v>88275</v>
      </c>
      <c r="D73" s="21" t="s">
        <v>144</v>
      </c>
      <c r="E73" s="22" t="s">
        <v>118</v>
      </c>
      <c r="F73" s="195">
        <v>1.4</v>
      </c>
      <c r="G73" s="34">
        <v>35.29</v>
      </c>
      <c r="H73" s="34"/>
      <c r="I73" s="34">
        <f>TRUNC(G73*F73,2)</f>
        <v>49.4</v>
      </c>
      <c r="J73" s="34"/>
      <c r="K73" s="34"/>
      <c r="L73" s="94"/>
      <c r="M73" s="101"/>
      <c r="N73" s="113"/>
      <c r="O73" s="101"/>
      <c r="P73" s="113"/>
      <c r="Q73" s="101"/>
      <c r="R73" s="64"/>
      <c r="S73" s="29"/>
      <c r="T73" s="29"/>
      <c r="U73" s="6"/>
    </row>
    <row r="74" spans="1:21" ht="16.5" customHeight="1" x14ac:dyDescent="0.25">
      <c r="A74" s="312" t="s">
        <v>90</v>
      </c>
      <c r="B74" s="311" t="s">
        <v>37</v>
      </c>
      <c r="C74" s="254"/>
      <c r="D74" s="253" t="s">
        <v>360</v>
      </c>
      <c r="E74" s="24" t="s">
        <v>126</v>
      </c>
      <c r="F74" s="337">
        <f>'Planilha Analítica'!F27</f>
        <v>1</v>
      </c>
      <c r="G74" s="92"/>
      <c r="H74" s="92">
        <f>SUM(H75:H76)</f>
        <v>18900</v>
      </c>
      <c r="I74" s="92">
        <f>SUM(I75:I76)</f>
        <v>2489.4</v>
      </c>
      <c r="J74" s="92">
        <f>I74+H74</f>
        <v>21389.4</v>
      </c>
      <c r="K74" s="92">
        <f>ROUND(H74*$F74,2)</f>
        <v>18900</v>
      </c>
      <c r="L74" s="92">
        <f>ROUND(I74*$F74,2)</f>
        <v>2489.4</v>
      </c>
      <c r="M74" s="100">
        <f>L74+K74</f>
        <v>21389.4</v>
      </c>
      <c r="N74" s="112">
        <f>$K$5</f>
        <v>0.2111176002216073</v>
      </c>
      <c r="O74" s="100">
        <f>ROUND(H74*(1+$N74),2)</f>
        <v>22890.12</v>
      </c>
      <c r="P74" s="112">
        <f>$J$5</f>
        <v>0.26838623884514634</v>
      </c>
      <c r="Q74" s="100">
        <f>ROUND(I74*(1+$P74),2)</f>
        <v>3157.52</v>
      </c>
      <c r="R74" s="28">
        <f>ROUND(O74*$F74,2)</f>
        <v>22890.12</v>
      </c>
      <c r="S74" s="28">
        <f>ROUND(Q74*$F74,2)</f>
        <v>3157.52</v>
      </c>
      <c r="T74" s="28">
        <f>S74+R74</f>
        <v>26047.64</v>
      </c>
      <c r="U74" s="6"/>
    </row>
    <row r="75" spans="1:21" ht="16.5" customHeight="1" x14ac:dyDescent="0.25">
      <c r="A75" s="303" t="s">
        <v>284</v>
      </c>
      <c r="B75" s="304" t="s">
        <v>21</v>
      </c>
      <c r="C75" s="250" t="s">
        <v>373</v>
      </c>
      <c r="D75" s="23" t="s">
        <v>361</v>
      </c>
      <c r="E75" s="22" t="s">
        <v>126</v>
      </c>
      <c r="F75" s="338">
        <v>1</v>
      </c>
      <c r="G75" s="93">
        <v>18900</v>
      </c>
      <c r="H75" s="93">
        <f>TRUNC(G75*F75,2)</f>
        <v>18900</v>
      </c>
      <c r="I75" s="93"/>
      <c r="J75" s="93"/>
      <c r="K75" s="93"/>
      <c r="L75" s="94"/>
      <c r="M75" s="101"/>
      <c r="N75" s="113"/>
      <c r="O75" s="101"/>
      <c r="P75" s="113"/>
      <c r="Q75" s="101"/>
      <c r="R75" s="64"/>
      <c r="S75" s="29"/>
      <c r="T75" s="29"/>
      <c r="U75" s="6"/>
    </row>
    <row r="76" spans="1:21" ht="16.5" customHeight="1" x14ac:dyDescent="0.25">
      <c r="A76" s="303" t="s">
        <v>285</v>
      </c>
      <c r="B76" s="304" t="s">
        <v>18</v>
      </c>
      <c r="C76" s="250">
        <v>88266</v>
      </c>
      <c r="D76" s="21" t="s">
        <v>154</v>
      </c>
      <c r="E76" s="22" t="s">
        <v>118</v>
      </c>
      <c r="F76" s="195">
        <v>60</v>
      </c>
      <c r="G76" s="34">
        <v>41.49</v>
      </c>
      <c r="H76" s="34"/>
      <c r="I76" s="34">
        <f>TRUNC(G76*F76,2)</f>
        <v>2489.4</v>
      </c>
      <c r="J76" s="34"/>
      <c r="K76" s="34"/>
      <c r="L76" s="94"/>
      <c r="M76" s="101"/>
      <c r="N76" s="113"/>
      <c r="O76" s="101"/>
      <c r="P76" s="113"/>
      <c r="Q76" s="101"/>
      <c r="R76" s="64"/>
      <c r="S76" s="29"/>
      <c r="T76" s="29"/>
      <c r="U76" s="6"/>
    </row>
    <row r="77" spans="1:21" ht="16.5" customHeight="1" x14ac:dyDescent="0.25">
      <c r="A77" s="312" t="s">
        <v>112</v>
      </c>
      <c r="B77" s="311" t="s">
        <v>37</v>
      </c>
      <c r="C77" s="254"/>
      <c r="D77" s="253" t="s">
        <v>371</v>
      </c>
      <c r="E77" s="24" t="s">
        <v>126</v>
      </c>
      <c r="F77" s="337">
        <f>'Planilha Analítica'!F28</f>
        <v>15</v>
      </c>
      <c r="G77" s="92"/>
      <c r="H77" s="92">
        <f>SUM(H78:H79)</f>
        <v>575</v>
      </c>
      <c r="I77" s="92">
        <f>SUM(I78:I79)</f>
        <v>82.98</v>
      </c>
      <c r="J77" s="92">
        <f>I77+H77</f>
        <v>657.98</v>
      </c>
      <c r="K77" s="92">
        <f>ROUND(H77*$F77,2)</f>
        <v>8625</v>
      </c>
      <c r="L77" s="92">
        <f>ROUND(I77*$F77,2)</f>
        <v>1244.7</v>
      </c>
      <c r="M77" s="100">
        <f>L77+K77</f>
        <v>9869.7000000000007</v>
      </c>
      <c r="N77" s="112">
        <f>$K$5</f>
        <v>0.2111176002216073</v>
      </c>
      <c r="O77" s="100">
        <f>ROUND(H77*(1+$N77),2)</f>
        <v>696.39</v>
      </c>
      <c r="P77" s="112">
        <f>$J$5</f>
        <v>0.26838623884514634</v>
      </c>
      <c r="Q77" s="100">
        <f>ROUND(I77*(1+$P77),2)</f>
        <v>105.25</v>
      </c>
      <c r="R77" s="28">
        <f>ROUND(O77*$F77,2)</f>
        <v>10445.85</v>
      </c>
      <c r="S77" s="28">
        <f>ROUND(Q77*$F77,2)</f>
        <v>1578.75</v>
      </c>
      <c r="T77" s="28">
        <f>S77+R77</f>
        <v>12024.6</v>
      </c>
      <c r="U77" s="6"/>
    </row>
    <row r="78" spans="1:21" ht="16.5" customHeight="1" x14ac:dyDescent="0.25">
      <c r="A78" s="303" t="s">
        <v>284</v>
      </c>
      <c r="B78" s="304" t="s">
        <v>21</v>
      </c>
      <c r="C78" s="250" t="s">
        <v>373</v>
      </c>
      <c r="D78" s="23" t="s">
        <v>372</v>
      </c>
      <c r="E78" s="22" t="s">
        <v>126</v>
      </c>
      <c r="F78" s="338">
        <v>1</v>
      </c>
      <c r="G78" s="93">
        <v>575</v>
      </c>
      <c r="H78" s="93">
        <f>TRUNC(G78*F78,2)</f>
        <v>575</v>
      </c>
      <c r="I78" s="93"/>
      <c r="J78" s="93"/>
      <c r="K78" s="93"/>
      <c r="L78" s="94"/>
      <c r="M78" s="101"/>
      <c r="N78" s="113"/>
      <c r="O78" s="101"/>
      <c r="P78" s="113"/>
      <c r="Q78" s="101"/>
      <c r="R78" s="64"/>
      <c r="S78" s="29"/>
      <c r="T78" s="29"/>
      <c r="U78" s="6"/>
    </row>
    <row r="79" spans="1:21" ht="16.5" customHeight="1" x14ac:dyDescent="0.25">
      <c r="A79" s="303" t="s">
        <v>285</v>
      </c>
      <c r="B79" s="304" t="s">
        <v>18</v>
      </c>
      <c r="C79" s="250">
        <v>88266</v>
      </c>
      <c r="D79" s="21" t="s">
        <v>154</v>
      </c>
      <c r="E79" s="22" t="s">
        <v>118</v>
      </c>
      <c r="F79" s="195">
        <v>2</v>
      </c>
      <c r="G79" s="34">
        <v>41.49</v>
      </c>
      <c r="H79" s="34"/>
      <c r="I79" s="34">
        <f>TRUNC(G79*F79,2)</f>
        <v>82.98</v>
      </c>
      <c r="J79" s="34"/>
      <c r="K79" s="34"/>
      <c r="L79" s="94"/>
      <c r="M79" s="101"/>
      <c r="N79" s="113"/>
      <c r="O79" s="101"/>
      <c r="P79" s="113"/>
      <c r="Q79" s="101"/>
      <c r="R79" s="64"/>
      <c r="S79" s="29"/>
      <c r="T79" s="29"/>
      <c r="U79" s="6"/>
    </row>
    <row r="80" spans="1:21" x14ac:dyDescent="0.25">
      <c r="A80" s="312" t="s">
        <v>113</v>
      </c>
      <c r="B80" s="311" t="s">
        <v>37</v>
      </c>
      <c r="C80" s="254"/>
      <c r="D80" s="253" t="s">
        <v>330</v>
      </c>
      <c r="E80" s="24" t="s">
        <v>126</v>
      </c>
      <c r="F80" s="337">
        <f>'Planilha Analítica'!F29</f>
        <v>1</v>
      </c>
      <c r="G80" s="92"/>
      <c r="H80" s="92">
        <f>SUM(H81:H83)</f>
        <v>4080</v>
      </c>
      <c r="I80" s="92">
        <f>SUM(I81:I83)</f>
        <v>284.21000000000004</v>
      </c>
      <c r="J80" s="92">
        <f>I80+H80</f>
        <v>4364.21</v>
      </c>
      <c r="K80" s="92">
        <f>ROUND(H80*$F80,2)</f>
        <v>4080</v>
      </c>
      <c r="L80" s="92">
        <f>ROUND(I80*$F80,2)</f>
        <v>284.20999999999998</v>
      </c>
      <c r="M80" s="100">
        <f>L80+K80</f>
        <v>4364.21</v>
      </c>
      <c r="N80" s="112">
        <f>$K$5</f>
        <v>0.2111176002216073</v>
      </c>
      <c r="O80" s="100">
        <f>ROUND(H80*(1+$N80),2)</f>
        <v>4941.3599999999997</v>
      </c>
      <c r="P80" s="112">
        <f>$J$5</f>
        <v>0.26838623884514634</v>
      </c>
      <c r="Q80" s="100">
        <f>ROUND(I80*(1+$P80),2)</f>
        <v>360.49</v>
      </c>
      <c r="R80" s="28">
        <f>ROUND(O80*$F80,2)</f>
        <v>4941.3599999999997</v>
      </c>
      <c r="S80" s="28">
        <f>ROUND(Q80*$F80,2)</f>
        <v>360.49</v>
      </c>
      <c r="T80" s="28">
        <f>S80+R80</f>
        <v>5301.8499999999995</v>
      </c>
      <c r="U80" s="6"/>
    </row>
    <row r="81" spans="1:21" ht="16.5" customHeight="1" x14ac:dyDescent="0.25">
      <c r="A81" s="303" t="s">
        <v>284</v>
      </c>
      <c r="B81" s="304" t="s">
        <v>21</v>
      </c>
      <c r="C81" s="250" t="s">
        <v>373</v>
      </c>
      <c r="D81" s="23" t="s">
        <v>329</v>
      </c>
      <c r="E81" s="22" t="s">
        <v>126</v>
      </c>
      <c r="F81" s="338">
        <v>1</v>
      </c>
      <c r="G81" s="93">
        <v>4080</v>
      </c>
      <c r="H81" s="93">
        <f>TRUNC(G81*F81,2)</f>
        <v>4080</v>
      </c>
      <c r="I81" s="93"/>
      <c r="J81" s="93"/>
      <c r="K81" s="93"/>
      <c r="L81" s="94"/>
      <c r="M81" s="101"/>
      <c r="N81" s="113"/>
      <c r="O81" s="101"/>
      <c r="P81" s="113"/>
      <c r="Q81" s="101"/>
      <c r="R81" s="64"/>
      <c r="S81" s="29"/>
      <c r="T81" s="29"/>
      <c r="U81" s="6"/>
    </row>
    <row r="82" spans="1:21" ht="16.5" customHeight="1" x14ac:dyDescent="0.25">
      <c r="A82" s="303" t="s">
        <v>285</v>
      </c>
      <c r="B82" s="304" t="s">
        <v>18</v>
      </c>
      <c r="C82" s="250">
        <v>88279</v>
      </c>
      <c r="D82" s="21" t="s">
        <v>133</v>
      </c>
      <c r="E82" s="22" t="s">
        <v>118</v>
      </c>
      <c r="F82" s="195">
        <v>4.33</v>
      </c>
      <c r="G82" s="34">
        <v>30.35</v>
      </c>
      <c r="H82" s="34"/>
      <c r="I82" s="34">
        <f>TRUNC(G82*F82,2)</f>
        <v>131.41</v>
      </c>
      <c r="J82" s="34"/>
      <c r="K82" s="34"/>
      <c r="L82" s="94"/>
      <c r="M82" s="101"/>
      <c r="N82" s="113"/>
      <c r="O82" s="101"/>
      <c r="P82" s="113"/>
      <c r="Q82" s="101"/>
      <c r="R82" s="64"/>
      <c r="S82" s="29"/>
      <c r="T82" s="29"/>
      <c r="U82" s="6"/>
    </row>
    <row r="83" spans="1:21" ht="16.5" customHeight="1" thickBot="1" x14ac:dyDescent="0.3">
      <c r="A83" s="317" t="s">
        <v>285</v>
      </c>
      <c r="B83" s="318" t="s">
        <v>18</v>
      </c>
      <c r="C83" s="230">
        <v>88275</v>
      </c>
      <c r="D83" s="323" t="s">
        <v>144</v>
      </c>
      <c r="E83" s="232" t="s">
        <v>118</v>
      </c>
      <c r="F83" s="275">
        <v>4.33</v>
      </c>
      <c r="G83" s="49">
        <v>35.29</v>
      </c>
      <c r="H83" s="49"/>
      <c r="I83" s="49">
        <f>TRUNC(G83*F83,2)</f>
        <v>152.80000000000001</v>
      </c>
      <c r="J83" s="49"/>
      <c r="K83" s="49"/>
      <c r="L83" s="219"/>
      <c r="M83" s="102"/>
      <c r="N83" s="114"/>
      <c r="O83" s="102"/>
      <c r="P83" s="114"/>
      <c r="Q83" s="102"/>
      <c r="R83" s="65"/>
      <c r="S83" s="30"/>
      <c r="T83" s="30"/>
      <c r="U83" s="6"/>
    </row>
    <row r="84" spans="1:21" ht="16.5" customHeight="1" x14ac:dyDescent="0.3">
      <c r="A84" s="307">
        <v>4</v>
      </c>
      <c r="B84" s="308"/>
      <c r="C84" s="31"/>
      <c r="D84" s="270" t="s">
        <v>265</v>
      </c>
      <c r="E84" s="260"/>
      <c r="F84" s="274"/>
      <c r="G84" s="261"/>
      <c r="H84" s="260"/>
      <c r="I84" s="260"/>
      <c r="J84" s="262"/>
      <c r="K84" s="66">
        <f>SUM(K85:K154)</f>
        <v>36736.28</v>
      </c>
      <c r="L84" s="66">
        <f>SUM(L85:L154)</f>
        <v>20769.120000000003</v>
      </c>
      <c r="M84" s="66">
        <f>SUM(M85:M154)</f>
        <v>57505.399999999994</v>
      </c>
      <c r="N84" s="263">
        <f>$K$5</f>
        <v>0.2111176002216073</v>
      </c>
      <c r="O84" s="262"/>
      <c r="P84" s="263">
        <f>$J$5</f>
        <v>0.26838623884514634</v>
      </c>
      <c r="Q84" s="262"/>
      <c r="R84" s="66">
        <f>SUM(R85:R154)</f>
        <v>44491.529999999992</v>
      </c>
      <c r="S84" s="66">
        <f>SUM(S85:S154)</f>
        <v>26343.54</v>
      </c>
      <c r="T84" s="74">
        <f>SUM(T85:T154)</f>
        <v>70835.069999999992</v>
      </c>
      <c r="U84" s="6"/>
    </row>
    <row r="85" spans="1:21" x14ac:dyDescent="0.25">
      <c r="A85" s="299" t="s">
        <v>17</v>
      </c>
      <c r="B85" s="300" t="s">
        <v>37</v>
      </c>
      <c r="C85" s="183"/>
      <c r="D85" s="25" t="s">
        <v>156</v>
      </c>
      <c r="E85" s="24" t="s">
        <v>117</v>
      </c>
      <c r="F85" s="197">
        <f>'Planilha Analítica'!F31</f>
        <v>130</v>
      </c>
      <c r="G85" s="89"/>
      <c r="H85" s="92">
        <f>SUM(H86:H90)</f>
        <v>34.340000000000003</v>
      </c>
      <c r="I85" s="92">
        <f>SUM(I86:I90)</f>
        <v>23.89</v>
      </c>
      <c r="J85" s="92">
        <f>I85+H85</f>
        <v>58.230000000000004</v>
      </c>
      <c r="K85" s="92">
        <f>ROUND(H85*$F85,2)</f>
        <v>4464.2</v>
      </c>
      <c r="L85" s="92">
        <f>ROUND(I85*$F85,2)</f>
        <v>3105.7</v>
      </c>
      <c r="M85" s="100">
        <f>L85+K85</f>
        <v>7569.9</v>
      </c>
      <c r="N85" s="112">
        <f>$K$5</f>
        <v>0.2111176002216073</v>
      </c>
      <c r="O85" s="100">
        <f>ROUND(H85*(1+$N85),2)</f>
        <v>41.59</v>
      </c>
      <c r="P85" s="112">
        <f>$J$5</f>
        <v>0.26838623884514634</v>
      </c>
      <c r="Q85" s="100">
        <f>ROUND(I85*(1+$P85),2)</f>
        <v>30.3</v>
      </c>
      <c r="R85" s="28">
        <f>ROUND(O85*$F85,2)</f>
        <v>5406.7</v>
      </c>
      <c r="S85" s="28">
        <f>ROUND(Q85*$F85,2)</f>
        <v>3939</v>
      </c>
      <c r="T85" s="28">
        <f>S85+R85</f>
        <v>9345.7000000000007</v>
      </c>
      <c r="U85" s="6"/>
    </row>
    <row r="86" spans="1:21" ht="16.5" customHeight="1" x14ac:dyDescent="0.25">
      <c r="A86" s="303" t="s">
        <v>284</v>
      </c>
      <c r="B86" s="304" t="s">
        <v>18</v>
      </c>
      <c r="C86" s="250">
        <v>39664</v>
      </c>
      <c r="D86" s="21" t="s">
        <v>157</v>
      </c>
      <c r="E86" s="22" t="s">
        <v>117</v>
      </c>
      <c r="F86" s="195">
        <v>1.0210999999999999</v>
      </c>
      <c r="G86" s="34">
        <v>28.25</v>
      </c>
      <c r="H86" s="93">
        <f>TRUNC(G86*F86,2)</f>
        <v>28.84</v>
      </c>
      <c r="I86" s="93"/>
      <c r="J86" s="93"/>
      <c r="K86" s="93"/>
      <c r="L86" s="224"/>
      <c r="M86" s="225"/>
      <c r="N86" s="113"/>
      <c r="O86" s="225"/>
      <c r="P86" s="113"/>
      <c r="Q86" s="225"/>
      <c r="R86" s="64"/>
      <c r="S86" s="29"/>
      <c r="T86" s="29"/>
      <c r="U86" s="6"/>
    </row>
    <row r="87" spans="1:21" ht="16.5" customHeight="1" x14ac:dyDescent="0.25">
      <c r="A87" s="303" t="s">
        <v>284</v>
      </c>
      <c r="B87" s="305" t="s">
        <v>294</v>
      </c>
      <c r="C87" s="228" t="s">
        <v>299</v>
      </c>
      <c r="D87" s="256" t="s">
        <v>300</v>
      </c>
      <c r="E87" s="22" t="s">
        <v>116</v>
      </c>
      <c r="F87" s="195">
        <v>0.03</v>
      </c>
      <c r="G87" s="34">
        <v>183.35</v>
      </c>
      <c r="H87" s="93">
        <f>TRUNC(G87*F87,2)</f>
        <v>5.5</v>
      </c>
      <c r="I87" s="93"/>
      <c r="J87" s="93"/>
      <c r="K87" s="93"/>
      <c r="L87" s="224"/>
      <c r="M87" s="225"/>
      <c r="N87" s="113"/>
      <c r="O87" s="225"/>
      <c r="P87" s="113"/>
      <c r="Q87" s="225"/>
      <c r="R87" s="64"/>
      <c r="S87" s="29"/>
      <c r="T87" s="29"/>
      <c r="U87" s="6"/>
    </row>
    <row r="88" spans="1:21" ht="16.5" customHeight="1" x14ac:dyDescent="0.25">
      <c r="A88" s="303" t="s">
        <v>285</v>
      </c>
      <c r="B88" s="305" t="s">
        <v>18</v>
      </c>
      <c r="C88" s="228">
        <v>88248</v>
      </c>
      <c r="D88" s="256" t="s">
        <v>23</v>
      </c>
      <c r="E88" s="22" t="s">
        <v>118</v>
      </c>
      <c r="F88" s="195">
        <v>0.26</v>
      </c>
      <c r="G88" s="34">
        <v>26.73</v>
      </c>
      <c r="H88" s="34"/>
      <c r="I88" s="34">
        <f t="shared" ref="I88:I102" si="0">TRUNC(G88*F88,2)</f>
        <v>6.94</v>
      </c>
      <c r="J88" s="34"/>
      <c r="K88" s="34"/>
      <c r="L88" s="224"/>
      <c r="M88" s="225"/>
      <c r="N88" s="113"/>
      <c r="O88" s="225"/>
      <c r="P88" s="113"/>
      <c r="Q88" s="225"/>
      <c r="R88" s="64"/>
      <c r="S88" s="29"/>
      <c r="T88" s="29"/>
      <c r="U88" s="6"/>
    </row>
    <row r="89" spans="1:21" ht="16.5" customHeight="1" x14ac:dyDescent="0.25">
      <c r="A89" s="303" t="s">
        <v>285</v>
      </c>
      <c r="B89" s="305" t="s">
        <v>18</v>
      </c>
      <c r="C89" s="228">
        <v>88267</v>
      </c>
      <c r="D89" s="256" t="s">
        <v>24</v>
      </c>
      <c r="E89" s="22" t="s">
        <v>118</v>
      </c>
      <c r="F89" s="195">
        <v>0.26</v>
      </c>
      <c r="G89" s="34">
        <v>32.19</v>
      </c>
      <c r="H89" s="34"/>
      <c r="I89" s="34">
        <f t="shared" si="0"/>
        <v>8.36</v>
      </c>
      <c r="J89" s="34"/>
      <c r="K89" s="34"/>
      <c r="L89" s="224"/>
      <c r="M89" s="225"/>
      <c r="N89" s="113"/>
      <c r="O89" s="225"/>
      <c r="P89" s="113"/>
      <c r="Q89" s="225"/>
      <c r="R89" s="64"/>
      <c r="S89" s="29"/>
      <c r="T89" s="29"/>
      <c r="U89" s="6"/>
    </row>
    <row r="90" spans="1:21" ht="16.5" customHeight="1" x14ac:dyDescent="0.25">
      <c r="A90" s="303" t="s">
        <v>285</v>
      </c>
      <c r="B90" s="305" t="s">
        <v>18</v>
      </c>
      <c r="C90" s="228">
        <v>88317</v>
      </c>
      <c r="D90" s="256" t="s">
        <v>155</v>
      </c>
      <c r="E90" s="22" t="s">
        <v>118</v>
      </c>
      <c r="F90" s="195">
        <v>0.26</v>
      </c>
      <c r="G90" s="34">
        <v>33.04</v>
      </c>
      <c r="H90" s="34"/>
      <c r="I90" s="34">
        <f t="shared" si="0"/>
        <v>8.59</v>
      </c>
      <c r="J90" s="34"/>
      <c r="K90" s="34"/>
      <c r="L90" s="224"/>
      <c r="M90" s="225"/>
      <c r="N90" s="113"/>
      <c r="O90" s="225"/>
      <c r="P90" s="113"/>
      <c r="Q90" s="225"/>
      <c r="R90" s="64"/>
      <c r="S90" s="29"/>
      <c r="T90" s="29"/>
      <c r="U90" s="6"/>
    </row>
    <row r="91" spans="1:21" x14ac:dyDescent="0.25">
      <c r="A91" s="299" t="s">
        <v>22</v>
      </c>
      <c r="B91" s="300" t="s">
        <v>37</v>
      </c>
      <c r="C91" s="183"/>
      <c r="D91" s="25" t="s">
        <v>158</v>
      </c>
      <c r="E91" s="24" t="s">
        <v>117</v>
      </c>
      <c r="F91" s="197">
        <f>'Planilha Analítica'!F32</f>
        <v>4</v>
      </c>
      <c r="G91" s="89"/>
      <c r="H91" s="92">
        <f>SUM(H92:H96)</f>
        <v>46.44</v>
      </c>
      <c r="I91" s="92">
        <f>SUM(I92:I96)</f>
        <v>23.89</v>
      </c>
      <c r="J91" s="92">
        <f>I91+H91</f>
        <v>70.33</v>
      </c>
      <c r="K91" s="92">
        <f>ROUND(H91*$F91,2)</f>
        <v>185.76</v>
      </c>
      <c r="L91" s="92">
        <f>ROUND(I91*$F91,2)</f>
        <v>95.56</v>
      </c>
      <c r="M91" s="100">
        <f>L91+K91</f>
        <v>281.32</v>
      </c>
      <c r="N91" s="112">
        <f>$K$5</f>
        <v>0.2111176002216073</v>
      </c>
      <c r="O91" s="100">
        <f>ROUND(H91*(1+$N91),2)</f>
        <v>56.24</v>
      </c>
      <c r="P91" s="112">
        <f>$J$5</f>
        <v>0.26838623884514634</v>
      </c>
      <c r="Q91" s="100">
        <f>ROUND(I91*(1+$P91),2)</f>
        <v>30.3</v>
      </c>
      <c r="R91" s="28">
        <f>ROUND(O91*$F91,2)</f>
        <v>224.96</v>
      </c>
      <c r="S91" s="28">
        <f>ROUND(Q91*$F91,2)</f>
        <v>121.2</v>
      </c>
      <c r="T91" s="28">
        <f>S91+R91</f>
        <v>346.16</v>
      </c>
      <c r="U91" s="6"/>
    </row>
    <row r="92" spans="1:21" ht="16.5" customHeight="1" x14ac:dyDescent="0.25">
      <c r="A92" s="303" t="s">
        <v>284</v>
      </c>
      <c r="B92" s="304" t="s">
        <v>18</v>
      </c>
      <c r="C92" s="250">
        <v>39660</v>
      </c>
      <c r="D92" s="21" t="s">
        <v>159</v>
      </c>
      <c r="E92" s="22" t="s">
        <v>117</v>
      </c>
      <c r="F92" s="195">
        <v>1.0210999999999999</v>
      </c>
      <c r="G92" s="34">
        <v>38.31</v>
      </c>
      <c r="H92" s="93">
        <f>TRUNC(G92*F92,2)</f>
        <v>39.11</v>
      </c>
      <c r="I92" s="93"/>
      <c r="J92" s="93"/>
      <c r="K92" s="93"/>
      <c r="L92" s="224"/>
      <c r="M92" s="225"/>
      <c r="N92" s="113"/>
      <c r="O92" s="225"/>
      <c r="P92" s="113"/>
      <c r="Q92" s="225"/>
      <c r="R92" s="64"/>
      <c r="S92" s="29"/>
      <c r="T92" s="29"/>
      <c r="U92" s="6"/>
    </row>
    <row r="93" spans="1:21" ht="16.5" customHeight="1" x14ac:dyDescent="0.25">
      <c r="A93" s="303" t="s">
        <v>284</v>
      </c>
      <c r="B93" s="305" t="s">
        <v>294</v>
      </c>
      <c r="C93" s="228" t="s">
        <v>299</v>
      </c>
      <c r="D93" s="256" t="s">
        <v>300</v>
      </c>
      <c r="E93" s="22" t="s">
        <v>116</v>
      </c>
      <c r="F93" s="195">
        <v>0.04</v>
      </c>
      <c r="G93" s="34">
        <v>183.35</v>
      </c>
      <c r="H93" s="93">
        <f>TRUNC(G93*F93,2)</f>
        <v>7.33</v>
      </c>
      <c r="I93" s="93"/>
      <c r="J93" s="93"/>
      <c r="K93" s="93"/>
      <c r="L93" s="224"/>
      <c r="M93" s="225"/>
      <c r="N93" s="113"/>
      <c r="O93" s="225"/>
      <c r="P93" s="113"/>
      <c r="Q93" s="225"/>
      <c r="R93" s="64"/>
      <c r="S93" s="29"/>
      <c r="T93" s="29"/>
      <c r="U93" s="6"/>
    </row>
    <row r="94" spans="1:21" ht="16.5" customHeight="1" x14ac:dyDescent="0.25">
      <c r="A94" s="303" t="s">
        <v>285</v>
      </c>
      <c r="B94" s="305" t="s">
        <v>18</v>
      </c>
      <c r="C94" s="228">
        <v>88248</v>
      </c>
      <c r="D94" s="256" t="s">
        <v>23</v>
      </c>
      <c r="E94" s="22" t="s">
        <v>118</v>
      </c>
      <c r="F94" s="195">
        <v>0.26</v>
      </c>
      <c r="G94" s="34">
        <v>26.73</v>
      </c>
      <c r="H94" s="34"/>
      <c r="I94" s="34">
        <f t="shared" si="0"/>
        <v>6.94</v>
      </c>
      <c r="J94" s="34"/>
      <c r="K94" s="34"/>
      <c r="L94" s="224"/>
      <c r="M94" s="225"/>
      <c r="N94" s="113"/>
      <c r="O94" s="225"/>
      <c r="P94" s="113"/>
      <c r="Q94" s="225"/>
      <c r="R94" s="64"/>
      <c r="S94" s="29"/>
      <c r="T94" s="29"/>
      <c r="U94" s="6"/>
    </row>
    <row r="95" spans="1:21" ht="16.5" customHeight="1" x14ac:dyDescent="0.25">
      <c r="A95" s="303" t="s">
        <v>285</v>
      </c>
      <c r="B95" s="305" t="s">
        <v>18</v>
      </c>
      <c r="C95" s="228">
        <v>88267</v>
      </c>
      <c r="D95" s="256" t="s">
        <v>24</v>
      </c>
      <c r="E95" s="22" t="s">
        <v>118</v>
      </c>
      <c r="F95" s="195">
        <v>0.26</v>
      </c>
      <c r="G95" s="34">
        <v>32.19</v>
      </c>
      <c r="H95" s="34"/>
      <c r="I95" s="34">
        <f t="shared" si="0"/>
        <v>8.36</v>
      </c>
      <c r="J95" s="34"/>
      <c r="K95" s="34"/>
      <c r="L95" s="224"/>
      <c r="M95" s="225"/>
      <c r="N95" s="113"/>
      <c r="O95" s="225"/>
      <c r="P95" s="113"/>
      <c r="Q95" s="225"/>
      <c r="R95" s="64"/>
      <c r="S95" s="29"/>
      <c r="T95" s="29"/>
      <c r="U95" s="6"/>
    </row>
    <row r="96" spans="1:21" ht="16.5" customHeight="1" x14ac:dyDescent="0.25">
      <c r="A96" s="303" t="s">
        <v>285</v>
      </c>
      <c r="B96" s="305" t="s">
        <v>18</v>
      </c>
      <c r="C96" s="228">
        <v>88317</v>
      </c>
      <c r="D96" s="256" t="s">
        <v>155</v>
      </c>
      <c r="E96" s="22" t="s">
        <v>118</v>
      </c>
      <c r="F96" s="195">
        <v>0.26</v>
      </c>
      <c r="G96" s="34">
        <v>33.04</v>
      </c>
      <c r="H96" s="34"/>
      <c r="I96" s="34">
        <f t="shared" si="0"/>
        <v>8.59</v>
      </c>
      <c r="J96" s="34"/>
      <c r="K96" s="34"/>
      <c r="L96" s="224"/>
      <c r="M96" s="225"/>
      <c r="N96" s="113"/>
      <c r="O96" s="225"/>
      <c r="P96" s="113"/>
      <c r="Q96" s="225"/>
      <c r="R96" s="64"/>
      <c r="S96" s="29"/>
      <c r="T96" s="29"/>
      <c r="U96" s="6"/>
    </row>
    <row r="97" spans="1:21" x14ac:dyDescent="0.25">
      <c r="A97" s="299" t="s">
        <v>39</v>
      </c>
      <c r="B97" s="300" t="s">
        <v>37</v>
      </c>
      <c r="C97" s="183"/>
      <c r="D97" s="25" t="s">
        <v>161</v>
      </c>
      <c r="E97" s="24" t="s">
        <v>117</v>
      </c>
      <c r="F97" s="197">
        <f>'Planilha Analítica'!F33</f>
        <v>132</v>
      </c>
      <c r="G97" s="89"/>
      <c r="H97" s="92">
        <f>SUM(H98:H102)</f>
        <v>64.38</v>
      </c>
      <c r="I97" s="92">
        <f>SUM(I98:I102)</f>
        <v>54.61</v>
      </c>
      <c r="J97" s="92">
        <f>I97+H97</f>
        <v>118.99</v>
      </c>
      <c r="K97" s="92">
        <f>ROUND(H97*$F97,2)</f>
        <v>8498.16</v>
      </c>
      <c r="L97" s="92">
        <f>ROUND(I97*$F97,2)</f>
        <v>7208.52</v>
      </c>
      <c r="M97" s="100">
        <f>L97+K97</f>
        <v>15706.68</v>
      </c>
      <c r="N97" s="112">
        <f>$K$5</f>
        <v>0.2111176002216073</v>
      </c>
      <c r="O97" s="100">
        <f>ROUND(H97*(1+$N97),2)</f>
        <v>77.97</v>
      </c>
      <c r="P97" s="112">
        <f>$J$5</f>
        <v>0.26838623884514634</v>
      </c>
      <c r="Q97" s="100">
        <f>ROUND(I97*(1+$P97),2)</f>
        <v>69.27</v>
      </c>
      <c r="R97" s="28">
        <f>ROUND(O97*$F97,2)</f>
        <v>10292.040000000001</v>
      </c>
      <c r="S97" s="28">
        <f>ROUND(Q97*$F97,2)</f>
        <v>9143.64</v>
      </c>
      <c r="T97" s="28">
        <f>S97+R97</f>
        <v>19435.68</v>
      </c>
      <c r="U97" s="6"/>
    </row>
    <row r="98" spans="1:21" ht="16.5" customHeight="1" x14ac:dyDescent="0.25">
      <c r="A98" s="303" t="s">
        <v>284</v>
      </c>
      <c r="B98" s="304" t="s">
        <v>18</v>
      </c>
      <c r="C98" s="250">
        <v>39724</v>
      </c>
      <c r="D98" s="21" t="s">
        <v>162</v>
      </c>
      <c r="E98" s="22" t="s">
        <v>117</v>
      </c>
      <c r="F98" s="195">
        <v>1.0210999999999999</v>
      </c>
      <c r="G98" s="34">
        <v>54.08</v>
      </c>
      <c r="H98" s="93">
        <f>TRUNC(G98*F98,2)</f>
        <v>55.22</v>
      </c>
      <c r="I98" s="93"/>
      <c r="J98" s="93"/>
      <c r="K98" s="93"/>
      <c r="L98" s="224"/>
      <c r="M98" s="225"/>
      <c r="N98" s="113"/>
      <c r="O98" s="225"/>
      <c r="P98" s="113"/>
      <c r="Q98" s="225"/>
      <c r="R98" s="64"/>
      <c r="S98" s="29"/>
      <c r="T98" s="29"/>
      <c r="U98" s="6"/>
    </row>
    <row r="99" spans="1:21" ht="16.5" customHeight="1" x14ac:dyDescent="0.25">
      <c r="A99" s="303" t="s">
        <v>284</v>
      </c>
      <c r="B99" s="305" t="s">
        <v>294</v>
      </c>
      <c r="C99" s="228" t="s">
        <v>299</v>
      </c>
      <c r="D99" s="256" t="s">
        <v>300</v>
      </c>
      <c r="E99" s="22" t="s">
        <v>116</v>
      </c>
      <c r="F99" s="195">
        <v>0.05</v>
      </c>
      <c r="G99" s="34">
        <v>183.35</v>
      </c>
      <c r="H99" s="93">
        <f>TRUNC(G99*F99,2)</f>
        <v>9.16</v>
      </c>
      <c r="I99" s="93"/>
      <c r="J99" s="93"/>
      <c r="K99" s="93"/>
      <c r="L99" s="224"/>
      <c r="M99" s="225"/>
      <c r="N99" s="113"/>
      <c r="O99" s="225"/>
      <c r="P99" s="113"/>
      <c r="Q99" s="225"/>
      <c r="R99" s="64"/>
      <c r="S99" s="29"/>
      <c r="T99" s="29"/>
      <c r="U99" s="6"/>
    </row>
    <row r="100" spans="1:21" ht="16.5" customHeight="1" x14ac:dyDescent="0.25">
      <c r="A100" s="303" t="s">
        <v>285</v>
      </c>
      <c r="B100" s="305" t="s">
        <v>18</v>
      </c>
      <c r="C100" s="228">
        <v>88248</v>
      </c>
      <c r="D100" s="256" t="s">
        <v>23</v>
      </c>
      <c r="E100" s="22" t="s">
        <v>118</v>
      </c>
      <c r="F100" s="195">
        <v>0.57999999999999996</v>
      </c>
      <c r="G100" s="34">
        <v>26.73</v>
      </c>
      <c r="H100" s="34"/>
      <c r="I100" s="34">
        <f t="shared" si="0"/>
        <v>15.5</v>
      </c>
      <c r="J100" s="34"/>
      <c r="K100" s="34"/>
      <c r="L100" s="224"/>
      <c r="M100" s="225"/>
      <c r="N100" s="113"/>
      <c r="O100" s="225"/>
      <c r="P100" s="113"/>
      <c r="Q100" s="225"/>
      <c r="R100" s="64"/>
      <c r="S100" s="29"/>
      <c r="T100" s="29"/>
      <c r="U100" s="6"/>
    </row>
    <row r="101" spans="1:21" ht="16.5" customHeight="1" x14ac:dyDescent="0.25">
      <c r="A101" s="303" t="s">
        <v>285</v>
      </c>
      <c r="B101" s="305" t="s">
        <v>18</v>
      </c>
      <c r="C101" s="228">
        <v>88267</v>
      </c>
      <c r="D101" s="256" t="s">
        <v>24</v>
      </c>
      <c r="E101" s="22" t="s">
        <v>118</v>
      </c>
      <c r="F101" s="195">
        <v>0.62</v>
      </c>
      <c r="G101" s="34">
        <v>32.19</v>
      </c>
      <c r="H101" s="34"/>
      <c r="I101" s="34">
        <f t="shared" si="0"/>
        <v>19.95</v>
      </c>
      <c r="J101" s="34"/>
      <c r="K101" s="34"/>
      <c r="L101" s="224"/>
      <c r="M101" s="225"/>
      <c r="N101" s="113"/>
      <c r="O101" s="225"/>
      <c r="P101" s="113"/>
      <c r="Q101" s="225"/>
      <c r="R101" s="64"/>
      <c r="S101" s="29"/>
      <c r="T101" s="29"/>
      <c r="U101" s="6"/>
    </row>
    <row r="102" spans="1:21" ht="16.5" customHeight="1" x14ac:dyDescent="0.25">
      <c r="A102" s="303" t="s">
        <v>285</v>
      </c>
      <c r="B102" s="305" t="s">
        <v>18</v>
      </c>
      <c r="C102" s="228">
        <v>88317</v>
      </c>
      <c r="D102" s="256" t="s">
        <v>155</v>
      </c>
      <c r="E102" s="22" t="s">
        <v>118</v>
      </c>
      <c r="F102" s="195">
        <v>0.57999999999999996</v>
      </c>
      <c r="G102" s="34">
        <v>33.04</v>
      </c>
      <c r="H102" s="34"/>
      <c r="I102" s="34">
        <f t="shared" si="0"/>
        <v>19.16</v>
      </c>
      <c r="J102" s="34"/>
      <c r="K102" s="34"/>
      <c r="L102" s="224"/>
      <c r="M102" s="225"/>
      <c r="N102" s="113"/>
      <c r="O102" s="225"/>
      <c r="P102" s="113"/>
      <c r="Q102" s="225"/>
      <c r="R102" s="64"/>
      <c r="S102" s="29"/>
      <c r="T102" s="29"/>
      <c r="U102" s="6"/>
    </row>
    <row r="103" spans="1:21" x14ac:dyDescent="0.25">
      <c r="A103" s="299" t="s">
        <v>160</v>
      </c>
      <c r="B103" s="300" t="s">
        <v>37</v>
      </c>
      <c r="C103" s="183"/>
      <c r="D103" s="25" t="s">
        <v>164</v>
      </c>
      <c r="E103" s="24" t="str">
        <f>E104</f>
        <v>m</v>
      </c>
      <c r="F103" s="197">
        <f>'Planilha Analítica'!F34</f>
        <v>54</v>
      </c>
      <c r="G103" s="89"/>
      <c r="H103" s="92">
        <f>SUM(H104:H108)</f>
        <v>92.91</v>
      </c>
      <c r="I103" s="92">
        <f>SUM(I104:I108)</f>
        <v>54.61</v>
      </c>
      <c r="J103" s="92">
        <f>I103+H103</f>
        <v>147.51999999999998</v>
      </c>
      <c r="K103" s="92">
        <f>ROUND(H103*$F103,2)</f>
        <v>5017.1400000000003</v>
      </c>
      <c r="L103" s="92">
        <f>ROUND(I103*$F103,2)</f>
        <v>2948.94</v>
      </c>
      <c r="M103" s="100">
        <f>L103+K103</f>
        <v>7966.08</v>
      </c>
      <c r="N103" s="112">
        <f>$K$5</f>
        <v>0.2111176002216073</v>
      </c>
      <c r="O103" s="100">
        <f>ROUND(H103*(1+$N103),2)</f>
        <v>112.52</v>
      </c>
      <c r="P103" s="112">
        <f>$J$5</f>
        <v>0.26838623884514634</v>
      </c>
      <c r="Q103" s="100">
        <f>ROUND(I103*(1+$P103),2)</f>
        <v>69.27</v>
      </c>
      <c r="R103" s="28">
        <f>ROUND(O103*$F103,2)</f>
        <v>6076.08</v>
      </c>
      <c r="S103" s="28">
        <f>ROUND(Q103*$F103,2)</f>
        <v>3740.58</v>
      </c>
      <c r="T103" s="28">
        <f>S103+R103</f>
        <v>9816.66</v>
      </c>
      <c r="U103" s="6"/>
    </row>
    <row r="104" spans="1:21" ht="16.5" customHeight="1" x14ac:dyDescent="0.25">
      <c r="A104" s="303" t="s">
        <v>284</v>
      </c>
      <c r="B104" s="304" t="s">
        <v>294</v>
      </c>
      <c r="C104" s="250" t="s">
        <v>292</v>
      </c>
      <c r="D104" s="21" t="s">
        <v>293</v>
      </c>
      <c r="E104" s="22" t="s">
        <v>117</v>
      </c>
      <c r="F104" s="195">
        <v>1.0210999999999999</v>
      </c>
      <c r="G104" s="34">
        <v>80.22</v>
      </c>
      <c r="H104" s="93">
        <f>TRUNC(G104*F104,2)</f>
        <v>81.91</v>
      </c>
      <c r="I104" s="93"/>
      <c r="J104" s="93"/>
      <c r="K104" s="93"/>
      <c r="L104" s="224"/>
      <c r="M104" s="225"/>
      <c r="N104" s="113"/>
      <c r="O104" s="225"/>
      <c r="P104" s="113"/>
      <c r="Q104" s="225"/>
      <c r="R104" s="64"/>
      <c r="S104" s="29"/>
      <c r="T104" s="29"/>
      <c r="U104" s="6"/>
    </row>
    <row r="105" spans="1:21" ht="16.5" customHeight="1" x14ac:dyDescent="0.25">
      <c r="A105" s="303" t="s">
        <v>284</v>
      </c>
      <c r="B105" s="305" t="s">
        <v>294</v>
      </c>
      <c r="C105" s="228" t="s">
        <v>299</v>
      </c>
      <c r="D105" s="256" t="s">
        <v>300</v>
      </c>
      <c r="E105" s="22" t="s">
        <v>116</v>
      </c>
      <c r="F105" s="195">
        <v>0.06</v>
      </c>
      <c r="G105" s="34">
        <v>183.35</v>
      </c>
      <c r="H105" s="93">
        <f>TRUNC(G105*F105,2)</f>
        <v>11</v>
      </c>
      <c r="I105" s="93"/>
      <c r="J105" s="93"/>
      <c r="K105" s="93"/>
      <c r="L105" s="224"/>
      <c r="M105" s="225"/>
      <c r="N105" s="113"/>
      <c r="O105" s="225"/>
      <c r="P105" s="113"/>
      <c r="Q105" s="225"/>
      <c r="R105" s="64"/>
      <c r="S105" s="29"/>
      <c r="T105" s="29"/>
      <c r="U105" s="6"/>
    </row>
    <row r="106" spans="1:21" ht="16.5" customHeight="1" x14ac:dyDescent="0.25">
      <c r="A106" s="303" t="s">
        <v>285</v>
      </c>
      <c r="B106" s="305" t="s">
        <v>18</v>
      </c>
      <c r="C106" s="228">
        <v>88248</v>
      </c>
      <c r="D106" s="256" t="s">
        <v>23</v>
      </c>
      <c r="E106" s="22" t="s">
        <v>118</v>
      </c>
      <c r="F106" s="195">
        <v>0.57999999999999996</v>
      </c>
      <c r="G106" s="34">
        <v>26.73</v>
      </c>
      <c r="H106" s="34"/>
      <c r="I106" s="34">
        <f>TRUNC(G106*F106,2)</f>
        <v>15.5</v>
      </c>
      <c r="J106" s="34"/>
      <c r="K106" s="34"/>
      <c r="L106" s="224"/>
      <c r="M106" s="225"/>
      <c r="N106" s="113"/>
      <c r="O106" s="225"/>
      <c r="P106" s="113"/>
      <c r="Q106" s="225"/>
      <c r="R106" s="64"/>
      <c r="S106" s="29"/>
      <c r="T106" s="29"/>
      <c r="U106" s="6"/>
    </row>
    <row r="107" spans="1:21" ht="16.5" customHeight="1" x14ac:dyDescent="0.25">
      <c r="A107" s="303" t="s">
        <v>285</v>
      </c>
      <c r="B107" s="305" t="s">
        <v>18</v>
      </c>
      <c r="C107" s="228">
        <v>88267</v>
      </c>
      <c r="D107" s="256" t="s">
        <v>24</v>
      </c>
      <c r="E107" s="22" t="s">
        <v>118</v>
      </c>
      <c r="F107" s="195">
        <v>0.62</v>
      </c>
      <c r="G107" s="34">
        <v>32.19</v>
      </c>
      <c r="H107" s="34"/>
      <c r="I107" s="34">
        <f>TRUNC(G107*F107,2)</f>
        <v>19.95</v>
      </c>
      <c r="J107" s="34"/>
      <c r="K107" s="34"/>
      <c r="L107" s="224"/>
      <c r="M107" s="225"/>
      <c r="N107" s="113"/>
      <c r="O107" s="225"/>
      <c r="P107" s="113"/>
      <c r="Q107" s="225"/>
      <c r="R107" s="64"/>
      <c r="S107" s="29"/>
      <c r="T107" s="29"/>
      <c r="U107" s="6"/>
    </row>
    <row r="108" spans="1:21" ht="16.5" customHeight="1" x14ac:dyDescent="0.25">
      <c r="A108" s="303" t="s">
        <v>285</v>
      </c>
      <c r="B108" s="305" t="s">
        <v>18</v>
      </c>
      <c r="C108" s="228">
        <v>88317</v>
      </c>
      <c r="D108" s="256" t="s">
        <v>155</v>
      </c>
      <c r="E108" s="22" t="s">
        <v>118</v>
      </c>
      <c r="F108" s="195">
        <v>0.57999999999999996</v>
      </c>
      <c r="G108" s="34">
        <v>33.04</v>
      </c>
      <c r="H108" s="34"/>
      <c r="I108" s="34">
        <f>TRUNC(G108*F108,2)</f>
        <v>19.16</v>
      </c>
      <c r="J108" s="34"/>
      <c r="K108" s="34"/>
      <c r="L108" s="224"/>
      <c r="M108" s="225"/>
      <c r="N108" s="113"/>
      <c r="O108" s="225"/>
      <c r="P108" s="113"/>
      <c r="Q108" s="225"/>
      <c r="R108" s="64"/>
      <c r="S108" s="29"/>
      <c r="T108" s="29"/>
      <c r="U108" s="6"/>
    </row>
    <row r="109" spans="1:21" x14ac:dyDescent="0.25">
      <c r="A109" s="299" t="s">
        <v>163</v>
      </c>
      <c r="B109" s="300" t="s">
        <v>37</v>
      </c>
      <c r="C109" s="183"/>
      <c r="D109" s="25" t="s">
        <v>166</v>
      </c>
      <c r="E109" s="24" t="s">
        <v>117</v>
      </c>
      <c r="F109" s="197">
        <f>'Planilha Analítica'!F35</f>
        <v>4</v>
      </c>
      <c r="G109" s="89"/>
      <c r="H109" s="92">
        <f>SUM(H110:H114)</f>
        <v>102.83</v>
      </c>
      <c r="I109" s="92">
        <f>SUM(I110:I114)</f>
        <v>54.61</v>
      </c>
      <c r="J109" s="92">
        <f>I109+H109</f>
        <v>157.44</v>
      </c>
      <c r="K109" s="92">
        <f>ROUND(H109*$F109,2)</f>
        <v>411.32</v>
      </c>
      <c r="L109" s="92">
        <f>ROUND(I109*$F109,2)</f>
        <v>218.44</v>
      </c>
      <c r="M109" s="100">
        <f>L109+K109</f>
        <v>629.76</v>
      </c>
      <c r="N109" s="112">
        <f>$K$5</f>
        <v>0.2111176002216073</v>
      </c>
      <c r="O109" s="100">
        <f>ROUND(H109*(1+$N109),2)</f>
        <v>124.54</v>
      </c>
      <c r="P109" s="112">
        <f>$J$5</f>
        <v>0.26838623884514634</v>
      </c>
      <c r="Q109" s="100">
        <f>ROUND(I109*(1+$P109),2)</f>
        <v>69.27</v>
      </c>
      <c r="R109" s="28">
        <f>ROUND(O109*$F109,2)</f>
        <v>498.16</v>
      </c>
      <c r="S109" s="28">
        <f>ROUND(Q109*$F109,2)</f>
        <v>277.08</v>
      </c>
      <c r="T109" s="28">
        <f>S109+R109</f>
        <v>775.24</v>
      </c>
      <c r="U109" s="6"/>
    </row>
    <row r="110" spans="1:21" ht="16.5" customHeight="1" x14ac:dyDescent="0.25">
      <c r="A110" s="303" t="s">
        <v>284</v>
      </c>
      <c r="B110" s="304" t="s">
        <v>18</v>
      </c>
      <c r="C110" s="250">
        <v>39725</v>
      </c>
      <c r="D110" s="21" t="s">
        <v>167</v>
      </c>
      <c r="E110" s="22" t="s">
        <v>117</v>
      </c>
      <c r="F110" s="195">
        <v>1.0210999999999999</v>
      </c>
      <c r="G110" s="34">
        <v>88.15</v>
      </c>
      <c r="H110" s="93">
        <f>TRUNC(G110*F110,2)</f>
        <v>90</v>
      </c>
      <c r="I110" s="93"/>
      <c r="J110" s="93"/>
      <c r="K110" s="93"/>
      <c r="L110" s="224"/>
      <c r="M110" s="225"/>
      <c r="N110" s="113"/>
      <c r="O110" s="225"/>
      <c r="P110" s="113"/>
      <c r="Q110" s="225"/>
      <c r="R110" s="64"/>
      <c r="S110" s="29"/>
      <c r="T110" s="29"/>
      <c r="U110" s="6"/>
    </row>
    <row r="111" spans="1:21" ht="16.5" customHeight="1" x14ac:dyDescent="0.25">
      <c r="A111" s="303" t="s">
        <v>284</v>
      </c>
      <c r="B111" s="305" t="s">
        <v>294</v>
      </c>
      <c r="C111" s="228" t="s">
        <v>299</v>
      </c>
      <c r="D111" s="256" t="s">
        <v>300</v>
      </c>
      <c r="E111" s="22" t="s">
        <v>116</v>
      </c>
      <c r="F111" s="195">
        <v>7.0000000000000007E-2</v>
      </c>
      <c r="G111" s="34">
        <v>183.35</v>
      </c>
      <c r="H111" s="93">
        <f>TRUNC(G111*F111,2)</f>
        <v>12.83</v>
      </c>
      <c r="I111" s="93"/>
      <c r="J111" s="93"/>
      <c r="K111" s="93"/>
      <c r="L111" s="224"/>
      <c r="M111" s="225"/>
      <c r="N111" s="113"/>
      <c r="O111" s="225"/>
      <c r="P111" s="113"/>
      <c r="Q111" s="225"/>
      <c r="R111" s="64"/>
      <c r="S111" s="29"/>
      <c r="T111" s="29"/>
      <c r="U111" s="6"/>
    </row>
    <row r="112" spans="1:21" ht="16.5" customHeight="1" x14ac:dyDescent="0.25">
      <c r="A112" s="303" t="s">
        <v>285</v>
      </c>
      <c r="B112" s="305" t="s">
        <v>18</v>
      </c>
      <c r="C112" s="228">
        <v>88248</v>
      </c>
      <c r="D112" s="256" t="s">
        <v>23</v>
      </c>
      <c r="E112" s="22" t="s">
        <v>118</v>
      </c>
      <c r="F112" s="195">
        <v>0.57999999999999996</v>
      </c>
      <c r="G112" s="34">
        <v>26.73</v>
      </c>
      <c r="H112" s="34"/>
      <c r="I112" s="34">
        <f>TRUNC(G112*F112,2)</f>
        <v>15.5</v>
      </c>
      <c r="J112" s="34"/>
      <c r="K112" s="34"/>
      <c r="L112" s="224"/>
      <c r="M112" s="225"/>
      <c r="N112" s="113"/>
      <c r="O112" s="225"/>
      <c r="P112" s="113"/>
      <c r="Q112" s="225"/>
      <c r="R112" s="64"/>
      <c r="S112" s="29"/>
      <c r="T112" s="29"/>
      <c r="U112" s="6"/>
    </row>
    <row r="113" spans="1:21" ht="16.5" customHeight="1" x14ac:dyDescent="0.25">
      <c r="A113" s="303" t="s">
        <v>285</v>
      </c>
      <c r="B113" s="305" t="s">
        <v>18</v>
      </c>
      <c r="C113" s="228">
        <v>88267</v>
      </c>
      <c r="D113" s="256" t="s">
        <v>24</v>
      </c>
      <c r="E113" s="22" t="s">
        <v>118</v>
      </c>
      <c r="F113" s="195">
        <v>0.62</v>
      </c>
      <c r="G113" s="34">
        <v>32.19</v>
      </c>
      <c r="H113" s="34"/>
      <c r="I113" s="34">
        <f>TRUNC(G113*F113,2)</f>
        <v>19.95</v>
      </c>
      <c r="J113" s="34"/>
      <c r="K113" s="34"/>
      <c r="L113" s="224"/>
      <c r="M113" s="225"/>
      <c r="N113" s="113"/>
      <c r="O113" s="225"/>
      <c r="P113" s="113"/>
      <c r="Q113" s="225"/>
      <c r="R113" s="64"/>
      <c r="S113" s="29"/>
      <c r="T113" s="29"/>
      <c r="U113" s="6"/>
    </row>
    <row r="114" spans="1:21" ht="16.5" customHeight="1" x14ac:dyDescent="0.25">
      <c r="A114" s="303" t="s">
        <v>285</v>
      </c>
      <c r="B114" s="305" t="s">
        <v>18</v>
      </c>
      <c r="C114" s="228">
        <v>88317</v>
      </c>
      <c r="D114" s="256" t="s">
        <v>155</v>
      </c>
      <c r="E114" s="22" t="s">
        <v>118</v>
      </c>
      <c r="F114" s="195">
        <v>0.57999999999999996</v>
      </c>
      <c r="G114" s="34">
        <v>33.04</v>
      </c>
      <c r="H114" s="34"/>
      <c r="I114" s="34">
        <f>TRUNC(G114*F114,2)</f>
        <v>19.16</v>
      </c>
      <c r="J114" s="34"/>
      <c r="K114" s="34"/>
      <c r="L114" s="224"/>
      <c r="M114" s="225"/>
      <c r="N114" s="113"/>
      <c r="O114" s="225"/>
      <c r="P114" s="113"/>
      <c r="Q114" s="225"/>
      <c r="R114" s="64"/>
      <c r="S114" s="29"/>
      <c r="T114" s="29"/>
      <c r="U114" s="6"/>
    </row>
    <row r="115" spans="1:21" ht="18" customHeight="1" x14ac:dyDescent="0.25">
      <c r="A115" s="299" t="s">
        <v>165</v>
      </c>
      <c r="B115" s="300" t="s">
        <v>37</v>
      </c>
      <c r="C115" s="183"/>
      <c r="D115" s="25" t="s">
        <v>331</v>
      </c>
      <c r="E115" s="24" t="s">
        <v>117</v>
      </c>
      <c r="F115" s="197">
        <f>'Planilha Analítica'!F36</f>
        <v>2</v>
      </c>
      <c r="G115" s="89"/>
      <c r="H115" s="92">
        <f>SUM(H116:H120)</f>
        <v>129.63</v>
      </c>
      <c r="I115" s="92">
        <f>SUM(I116:I120)</f>
        <v>75.39</v>
      </c>
      <c r="J115" s="92">
        <f>I115+H115</f>
        <v>205.01999999999998</v>
      </c>
      <c r="K115" s="92">
        <f>ROUND(H115*$F115,2)</f>
        <v>259.26</v>
      </c>
      <c r="L115" s="92">
        <f>ROUND(I115*$F115,2)</f>
        <v>150.78</v>
      </c>
      <c r="M115" s="100">
        <f>L115+K115</f>
        <v>410.03999999999996</v>
      </c>
      <c r="N115" s="112">
        <f>$K$5</f>
        <v>0.2111176002216073</v>
      </c>
      <c r="O115" s="100">
        <f>ROUND(H115*(1+$N115),2)</f>
        <v>157</v>
      </c>
      <c r="P115" s="112">
        <f>$J$5</f>
        <v>0.26838623884514634</v>
      </c>
      <c r="Q115" s="100">
        <f>ROUND(I115*(1+$P115),2)</f>
        <v>95.62</v>
      </c>
      <c r="R115" s="28">
        <f>ROUND(O115*$F115,2)</f>
        <v>314</v>
      </c>
      <c r="S115" s="28">
        <f>ROUND(Q115*$F115,2)</f>
        <v>191.24</v>
      </c>
      <c r="T115" s="28">
        <f>S115+R115</f>
        <v>505.24</v>
      </c>
      <c r="U115" s="6"/>
    </row>
    <row r="116" spans="1:21" x14ac:dyDescent="0.25">
      <c r="A116" s="303" t="s">
        <v>284</v>
      </c>
      <c r="B116" s="305" t="s">
        <v>18</v>
      </c>
      <c r="C116" s="228" t="s">
        <v>332</v>
      </c>
      <c r="D116" s="45" t="s">
        <v>333</v>
      </c>
      <c r="E116" s="22" t="s">
        <v>117</v>
      </c>
      <c r="F116" s="195">
        <v>1.0210999999999999</v>
      </c>
      <c r="G116" s="34">
        <v>112.6</v>
      </c>
      <c r="H116" s="93">
        <f>TRUNC(G116*F116,2)</f>
        <v>114.97</v>
      </c>
      <c r="I116" s="93"/>
      <c r="J116" s="93"/>
      <c r="K116" s="93"/>
      <c r="L116" s="224"/>
      <c r="M116" s="225"/>
      <c r="N116" s="113"/>
      <c r="O116" s="225"/>
      <c r="P116" s="113"/>
      <c r="Q116" s="225"/>
      <c r="R116" s="64"/>
      <c r="S116" s="29"/>
      <c r="T116" s="29"/>
      <c r="U116" s="6"/>
    </row>
    <row r="117" spans="1:21" x14ac:dyDescent="0.25">
      <c r="A117" s="303" t="s">
        <v>284</v>
      </c>
      <c r="B117" s="305" t="s">
        <v>294</v>
      </c>
      <c r="C117" s="228" t="s">
        <v>299</v>
      </c>
      <c r="D117" s="256" t="s">
        <v>300</v>
      </c>
      <c r="E117" s="22" t="s">
        <v>116</v>
      </c>
      <c r="F117" s="195">
        <v>0.08</v>
      </c>
      <c r="G117" s="34">
        <v>183.35</v>
      </c>
      <c r="H117" s="93">
        <f>TRUNC(G117*F117,2)</f>
        <v>14.66</v>
      </c>
      <c r="I117" s="93"/>
      <c r="J117" s="93"/>
      <c r="K117" s="93"/>
      <c r="L117" s="224"/>
      <c r="M117" s="225"/>
      <c r="N117" s="113"/>
      <c r="O117" s="225"/>
      <c r="P117" s="113"/>
      <c r="Q117" s="225"/>
      <c r="R117" s="64"/>
      <c r="S117" s="29"/>
      <c r="T117" s="29"/>
      <c r="U117" s="6"/>
    </row>
    <row r="118" spans="1:21" x14ac:dyDescent="0.25">
      <c r="A118" s="303" t="s">
        <v>285</v>
      </c>
      <c r="B118" s="305" t="s">
        <v>18</v>
      </c>
      <c r="C118" s="228">
        <v>88248</v>
      </c>
      <c r="D118" s="256" t="s">
        <v>23</v>
      </c>
      <c r="E118" s="22" t="s">
        <v>118</v>
      </c>
      <c r="F118" s="195">
        <v>0.82</v>
      </c>
      <c r="G118" s="34">
        <v>26.73</v>
      </c>
      <c r="H118" s="34"/>
      <c r="I118" s="34">
        <f>TRUNC(G118*F118,2)</f>
        <v>21.91</v>
      </c>
      <c r="J118" s="34"/>
      <c r="K118" s="34"/>
      <c r="L118" s="224"/>
      <c r="M118" s="225"/>
      <c r="N118" s="113"/>
      <c r="O118" s="225"/>
      <c r="P118" s="113"/>
      <c r="Q118" s="225"/>
      <c r="R118" s="64"/>
      <c r="S118" s="29"/>
      <c r="T118" s="29"/>
      <c r="U118" s="6"/>
    </row>
    <row r="119" spans="1:21" x14ac:dyDescent="0.25">
      <c r="A119" s="303" t="s">
        <v>285</v>
      </c>
      <c r="B119" s="305" t="s">
        <v>18</v>
      </c>
      <c r="C119" s="228">
        <v>88267</v>
      </c>
      <c r="D119" s="256" t="s">
        <v>24</v>
      </c>
      <c r="E119" s="22" t="s">
        <v>118</v>
      </c>
      <c r="F119" s="195">
        <v>0.82</v>
      </c>
      <c r="G119" s="34">
        <v>32.19</v>
      </c>
      <c r="H119" s="34"/>
      <c r="I119" s="34">
        <f>TRUNC(G119*F119,2)</f>
        <v>26.39</v>
      </c>
      <c r="J119" s="34"/>
      <c r="K119" s="34"/>
      <c r="L119" s="224"/>
      <c r="M119" s="225"/>
      <c r="N119" s="113"/>
      <c r="O119" s="225"/>
      <c r="P119" s="113"/>
      <c r="Q119" s="225"/>
      <c r="R119" s="64"/>
      <c r="S119" s="29"/>
      <c r="T119" s="29"/>
      <c r="U119" s="6"/>
    </row>
    <row r="120" spans="1:21" x14ac:dyDescent="0.25">
      <c r="A120" s="303" t="s">
        <v>285</v>
      </c>
      <c r="B120" s="305" t="s">
        <v>18</v>
      </c>
      <c r="C120" s="228">
        <v>88317</v>
      </c>
      <c r="D120" s="256" t="s">
        <v>155</v>
      </c>
      <c r="E120" s="22" t="s">
        <v>118</v>
      </c>
      <c r="F120" s="195">
        <v>0.82</v>
      </c>
      <c r="G120" s="34">
        <v>33.04</v>
      </c>
      <c r="H120" s="34"/>
      <c r="I120" s="34">
        <f>TRUNC(G120*F120,2)</f>
        <v>27.09</v>
      </c>
      <c r="J120" s="34"/>
      <c r="K120" s="34"/>
      <c r="L120" s="224"/>
      <c r="M120" s="225"/>
      <c r="N120" s="113"/>
      <c r="O120" s="225"/>
      <c r="P120" s="113"/>
      <c r="Q120" s="225"/>
      <c r="R120" s="64"/>
      <c r="S120" s="29"/>
      <c r="T120" s="29"/>
      <c r="U120" s="6"/>
    </row>
    <row r="121" spans="1:21" x14ac:dyDescent="0.25">
      <c r="A121" s="299" t="s">
        <v>279</v>
      </c>
      <c r="B121" s="300" t="s">
        <v>37</v>
      </c>
      <c r="C121" s="183"/>
      <c r="D121" s="25" t="s">
        <v>169</v>
      </c>
      <c r="E121" s="24" t="s">
        <v>117</v>
      </c>
      <c r="F121" s="197">
        <f>'Planilha Analítica'!F37</f>
        <v>10</v>
      </c>
      <c r="G121" s="89"/>
      <c r="H121" s="92">
        <f>SUM(H122:H126)</f>
        <v>141.19999999999999</v>
      </c>
      <c r="I121" s="92">
        <f>SUM(I122:I126)</f>
        <v>75.39</v>
      </c>
      <c r="J121" s="92">
        <f>I121+H121</f>
        <v>216.58999999999997</v>
      </c>
      <c r="K121" s="92">
        <f>ROUND(H121*$F121,2)</f>
        <v>1412</v>
      </c>
      <c r="L121" s="92">
        <f>ROUND(I121*$F121,2)</f>
        <v>753.9</v>
      </c>
      <c r="M121" s="100">
        <f>L121+K121</f>
        <v>2165.9</v>
      </c>
      <c r="N121" s="112">
        <f>$K$5</f>
        <v>0.2111176002216073</v>
      </c>
      <c r="O121" s="100">
        <f>ROUND(H121*(1+$N121),2)</f>
        <v>171.01</v>
      </c>
      <c r="P121" s="112">
        <f>$J$5</f>
        <v>0.26838623884514634</v>
      </c>
      <c r="Q121" s="100">
        <f>ROUND(I121*(1+$P121),2)</f>
        <v>95.62</v>
      </c>
      <c r="R121" s="28">
        <f>ROUND(O121*$F121,2)</f>
        <v>1710.1</v>
      </c>
      <c r="S121" s="28">
        <f>ROUND(Q121*$F121,2)</f>
        <v>956.2</v>
      </c>
      <c r="T121" s="28">
        <f>S121+R121</f>
        <v>2666.3</v>
      </c>
      <c r="U121" s="6"/>
    </row>
    <row r="122" spans="1:21" ht="16.5" customHeight="1" x14ac:dyDescent="0.25">
      <c r="A122" s="303" t="s">
        <v>284</v>
      </c>
      <c r="B122" s="305" t="s">
        <v>18</v>
      </c>
      <c r="C122" s="228">
        <v>39726</v>
      </c>
      <c r="D122" s="45" t="s">
        <v>170</v>
      </c>
      <c r="E122" s="22" t="s">
        <v>117</v>
      </c>
      <c r="F122" s="195">
        <v>1.0210999999999999</v>
      </c>
      <c r="G122" s="34">
        <v>122.13</v>
      </c>
      <c r="H122" s="93">
        <f>TRUNC(G122*F122,2)</f>
        <v>124.7</v>
      </c>
      <c r="I122" s="93"/>
      <c r="J122" s="93"/>
      <c r="K122" s="93"/>
      <c r="L122" s="224"/>
      <c r="M122" s="225"/>
      <c r="N122" s="113"/>
      <c r="O122" s="225"/>
      <c r="P122" s="113"/>
      <c r="Q122" s="225"/>
      <c r="R122" s="64"/>
      <c r="S122" s="29"/>
      <c r="T122" s="29"/>
      <c r="U122" s="6"/>
    </row>
    <row r="123" spans="1:21" ht="16.5" customHeight="1" x14ac:dyDescent="0.25">
      <c r="A123" s="303" t="s">
        <v>284</v>
      </c>
      <c r="B123" s="305" t="s">
        <v>294</v>
      </c>
      <c r="C123" s="228" t="s">
        <v>299</v>
      </c>
      <c r="D123" s="256" t="s">
        <v>300</v>
      </c>
      <c r="E123" s="22" t="s">
        <v>116</v>
      </c>
      <c r="F123" s="195">
        <v>0.09</v>
      </c>
      <c r="G123" s="34">
        <v>183.35</v>
      </c>
      <c r="H123" s="93">
        <f>TRUNC(G123*F123,2)</f>
        <v>16.5</v>
      </c>
      <c r="I123" s="93"/>
      <c r="J123" s="93"/>
      <c r="K123" s="93"/>
      <c r="L123" s="224"/>
      <c r="M123" s="225"/>
      <c r="N123" s="113"/>
      <c r="O123" s="225"/>
      <c r="P123" s="113"/>
      <c r="Q123" s="225"/>
      <c r="R123" s="64"/>
      <c r="S123" s="29"/>
      <c r="T123" s="29"/>
      <c r="U123" s="6"/>
    </row>
    <row r="124" spans="1:21" ht="16.5" customHeight="1" x14ac:dyDescent="0.25">
      <c r="A124" s="303" t="s">
        <v>285</v>
      </c>
      <c r="B124" s="305" t="s">
        <v>18</v>
      </c>
      <c r="C124" s="228">
        <v>88248</v>
      </c>
      <c r="D124" s="256" t="s">
        <v>23</v>
      </c>
      <c r="E124" s="22" t="s">
        <v>118</v>
      </c>
      <c r="F124" s="195">
        <v>0.82</v>
      </c>
      <c r="G124" s="34">
        <v>26.73</v>
      </c>
      <c r="H124" s="34"/>
      <c r="I124" s="34">
        <f>TRUNC(G124*F124,2)</f>
        <v>21.91</v>
      </c>
      <c r="J124" s="34"/>
      <c r="K124" s="34"/>
      <c r="L124" s="224"/>
      <c r="M124" s="225"/>
      <c r="N124" s="113"/>
      <c r="O124" s="225"/>
      <c r="P124" s="113"/>
      <c r="Q124" s="225"/>
      <c r="R124" s="64"/>
      <c r="S124" s="29"/>
      <c r="T124" s="29"/>
      <c r="U124" s="6"/>
    </row>
    <row r="125" spans="1:21" ht="16.5" customHeight="1" x14ac:dyDescent="0.25">
      <c r="A125" s="303" t="s">
        <v>285</v>
      </c>
      <c r="B125" s="305" t="s">
        <v>18</v>
      </c>
      <c r="C125" s="228">
        <v>88267</v>
      </c>
      <c r="D125" s="256" t="s">
        <v>24</v>
      </c>
      <c r="E125" s="22" t="s">
        <v>118</v>
      </c>
      <c r="F125" s="195">
        <v>0.82</v>
      </c>
      <c r="G125" s="34">
        <v>32.19</v>
      </c>
      <c r="H125" s="34"/>
      <c r="I125" s="34">
        <f>TRUNC(G125*F125,2)</f>
        <v>26.39</v>
      </c>
      <c r="J125" s="34"/>
      <c r="K125" s="34"/>
      <c r="L125" s="224"/>
      <c r="M125" s="225"/>
      <c r="N125" s="113"/>
      <c r="O125" s="225"/>
      <c r="P125" s="113"/>
      <c r="Q125" s="225"/>
      <c r="R125" s="64"/>
      <c r="S125" s="29"/>
      <c r="T125" s="29"/>
      <c r="U125" s="6"/>
    </row>
    <row r="126" spans="1:21" ht="16.5" customHeight="1" x14ac:dyDescent="0.25">
      <c r="A126" s="303" t="s">
        <v>285</v>
      </c>
      <c r="B126" s="305" t="s">
        <v>18</v>
      </c>
      <c r="C126" s="228">
        <v>88317</v>
      </c>
      <c r="D126" s="256" t="s">
        <v>155</v>
      </c>
      <c r="E126" s="22" t="s">
        <v>118</v>
      </c>
      <c r="F126" s="195">
        <v>0.82</v>
      </c>
      <c r="G126" s="34">
        <v>33.04</v>
      </c>
      <c r="H126" s="34"/>
      <c r="I126" s="34">
        <f>TRUNC(G126*F126,2)</f>
        <v>27.09</v>
      </c>
      <c r="J126" s="34"/>
      <c r="K126" s="34"/>
      <c r="L126" s="224"/>
      <c r="M126" s="225"/>
      <c r="N126" s="113"/>
      <c r="O126" s="225"/>
      <c r="P126" s="113"/>
      <c r="Q126" s="225"/>
      <c r="R126" s="64"/>
      <c r="S126" s="29"/>
      <c r="T126" s="29"/>
      <c r="U126" s="6"/>
    </row>
    <row r="127" spans="1:21" x14ac:dyDescent="0.25">
      <c r="A127" s="299" t="s">
        <v>168</v>
      </c>
      <c r="B127" s="300" t="s">
        <v>37</v>
      </c>
      <c r="C127" s="183"/>
      <c r="D127" s="25" t="s">
        <v>172</v>
      </c>
      <c r="E127" s="24" t="s">
        <v>117</v>
      </c>
      <c r="F127" s="197">
        <f>'Planilha Analítica'!F38</f>
        <v>20</v>
      </c>
      <c r="G127" s="89"/>
      <c r="H127" s="92">
        <f>SUM(H128:H132)</f>
        <v>148.29000000000002</v>
      </c>
      <c r="I127" s="92">
        <f>SUM(I128:I132)</f>
        <v>75.39</v>
      </c>
      <c r="J127" s="92">
        <f>I127+H127</f>
        <v>223.68</v>
      </c>
      <c r="K127" s="92">
        <f>ROUND(H127*$F127,2)</f>
        <v>2965.8</v>
      </c>
      <c r="L127" s="92">
        <f>ROUND(I127*$F127,2)</f>
        <v>1507.8</v>
      </c>
      <c r="M127" s="100">
        <f>L127+K127</f>
        <v>4473.6000000000004</v>
      </c>
      <c r="N127" s="112">
        <f>$K$5</f>
        <v>0.2111176002216073</v>
      </c>
      <c r="O127" s="100">
        <f>ROUND(H127*(1+$N127),2)</f>
        <v>179.6</v>
      </c>
      <c r="P127" s="112">
        <f>$J$5</f>
        <v>0.26838623884514634</v>
      </c>
      <c r="Q127" s="100">
        <f>ROUND(I127*(1+$P127),2)</f>
        <v>95.62</v>
      </c>
      <c r="R127" s="28">
        <f>ROUND(O127*$F127,2)</f>
        <v>3592</v>
      </c>
      <c r="S127" s="28">
        <f>ROUND(Q127*$F127,2)</f>
        <v>1912.4</v>
      </c>
      <c r="T127" s="28">
        <f>S127+R127</f>
        <v>5504.4</v>
      </c>
      <c r="U127" s="6"/>
    </row>
    <row r="128" spans="1:21" ht="16.5" customHeight="1" x14ac:dyDescent="0.25">
      <c r="A128" s="303" t="s">
        <v>284</v>
      </c>
      <c r="B128" s="304" t="s">
        <v>294</v>
      </c>
      <c r="C128" s="250" t="s">
        <v>297</v>
      </c>
      <c r="D128" s="21" t="s">
        <v>298</v>
      </c>
      <c r="E128" s="22" t="s">
        <v>117</v>
      </c>
      <c r="F128" s="195">
        <v>1.0210999999999999</v>
      </c>
      <c r="G128" s="34">
        <v>127.28</v>
      </c>
      <c r="H128" s="93">
        <f>TRUNC(G128*F128,2)</f>
        <v>129.96</v>
      </c>
      <c r="I128" s="93"/>
      <c r="J128" s="93"/>
      <c r="K128" s="93"/>
      <c r="L128" s="224"/>
      <c r="M128" s="225"/>
      <c r="N128" s="113"/>
      <c r="O128" s="225"/>
      <c r="P128" s="113"/>
      <c r="Q128" s="225"/>
      <c r="R128" s="64"/>
      <c r="S128" s="29"/>
      <c r="T128" s="29"/>
      <c r="U128" s="6"/>
    </row>
    <row r="129" spans="1:21" ht="16.5" customHeight="1" x14ac:dyDescent="0.25">
      <c r="A129" s="303" t="s">
        <v>284</v>
      </c>
      <c r="B129" s="305" t="s">
        <v>294</v>
      </c>
      <c r="C129" s="228" t="s">
        <v>299</v>
      </c>
      <c r="D129" s="256" t="s">
        <v>300</v>
      </c>
      <c r="E129" s="22" t="s">
        <v>116</v>
      </c>
      <c r="F129" s="195">
        <v>0.1</v>
      </c>
      <c r="G129" s="34">
        <v>183.35</v>
      </c>
      <c r="H129" s="93">
        <f>TRUNC(G129*F129,2)</f>
        <v>18.329999999999998</v>
      </c>
      <c r="I129" s="93"/>
      <c r="J129" s="93"/>
      <c r="K129" s="93"/>
      <c r="L129" s="224"/>
      <c r="M129" s="225"/>
      <c r="N129" s="113"/>
      <c r="O129" s="225"/>
      <c r="P129" s="113"/>
      <c r="Q129" s="225"/>
      <c r="R129" s="64"/>
      <c r="S129" s="29"/>
      <c r="T129" s="29"/>
      <c r="U129" s="6"/>
    </row>
    <row r="130" spans="1:21" ht="16.5" customHeight="1" x14ac:dyDescent="0.25">
      <c r="A130" s="303" t="s">
        <v>285</v>
      </c>
      <c r="B130" s="305" t="s">
        <v>18</v>
      </c>
      <c r="C130" s="228">
        <v>88248</v>
      </c>
      <c r="D130" s="256" t="s">
        <v>23</v>
      </c>
      <c r="E130" s="22" t="s">
        <v>118</v>
      </c>
      <c r="F130" s="195">
        <v>0.82</v>
      </c>
      <c r="G130" s="34">
        <v>26.73</v>
      </c>
      <c r="H130" s="34"/>
      <c r="I130" s="34">
        <f>TRUNC(G130*F130,2)</f>
        <v>21.91</v>
      </c>
      <c r="J130" s="34"/>
      <c r="K130" s="34"/>
      <c r="L130" s="224"/>
      <c r="M130" s="225"/>
      <c r="N130" s="113"/>
      <c r="O130" s="225"/>
      <c r="P130" s="113"/>
      <c r="Q130" s="225"/>
      <c r="R130" s="64"/>
      <c r="S130" s="29"/>
      <c r="T130" s="29"/>
      <c r="U130" s="6"/>
    </row>
    <row r="131" spans="1:21" ht="16.5" customHeight="1" x14ac:dyDescent="0.25">
      <c r="A131" s="303" t="s">
        <v>285</v>
      </c>
      <c r="B131" s="305" t="s">
        <v>18</v>
      </c>
      <c r="C131" s="228">
        <v>88267</v>
      </c>
      <c r="D131" s="256" t="s">
        <v>24</v>
      </c>
      <c r="E131" s="22" t="s">
        <v>118</v>
      </c>
      <c r="F131" s="195">
        <v>0.82</v>
      </c>
      <c r="G131" s="34">
        <v>32.19</v>
      </c>
      <c r="H131" s="34"/>
      <c r="I131" s="34">
        <f>TRUNC(G131*F131,2)</f>
        <v>26.39</v>
      </c>
      <c r="J131" s="34"/>
      <c r="K131" s="34"/>
      <c r="L131" s="224"/>
      <c r="M131" s="225"/>
      <c r="N131" s="113"/>
      <c r="O131" s="225"/>
      <c r="P131" s="113"/>
      <c r="Q131" s="225"/>
      <c r="R131" s="64"/>
      <c r="S131" s="29"/>
      <c r="T131" s="29"/>
      <c r="U131" s="6"/>
    </row>
    <row r="132" spans="1:21" ht="16.5" customHeight="1" x14ac:dyDescent="0.25">
      <c r="A132" s="303" t="s">
        <v>285</v>
      </c>
      <c r="B132" s="305" t="s">
        <v>18</v>
      </c>
      <c r="C132" s="228">
        <v>88317</v>
      </c>
      <c r="D132" s="256" t="s">
        <v>155</v>
      </c>
      <c r="E132" s="22" t="s">
        <v>118</v>
      </c>
      <c r="F132" s="195">
        <v>0.82</v>
      </c>
      <c r="G132" s="34">
        <v>33.04</v>
      </c>
      <c r="H132" s="34"/>
      <c r="I132" s="34">
        <f>TRUNC(G132*F132,2)</f>
        <v>27.09</v>
      </c>
      <c r="J132" s="34"/>
      <c r="K132" s="34"/>
      <c r="L132" s="224"/>
      <c r="M132" s="225"/>
      <c r="N132" s="113"/>
      <c r="O132" s="225"/>
      <c r="P132" s="113"/>
      <c r="Q132" s="225"/>
      <c r="R132" s="64"/>
      <c r="S132" s="29"/>
      <c r="T132" s="29"/>
      <c r="U132" s="6"/>
    </row>
    <row r="133" spans="1:21" x14ac:dyDescent="0.25">
      <c r="A133" s="299" t="s">
        <v>171</v>
      </c>
      <c r="B133" s="300" t="s">
        <v>37</v>
      </c>
      <c r="C133" s="183"/>
      <c r="D133" s="25" t="s">
        <v>174</v>
      </c>
      <c r="E133" s="24" t="s">
        <v>117</v>
      </c>
      <c r="F133" s="197">
        <f>'Planilha Analítica'!F39</f>
        <v>34</v>
      </c>
      <c r="G133" s="89"/>
      <c r="H133" s="92">
        <f>SUM(H134:H138)</f>
        <v>200.47</v>
      </c>
      <c r="I133" s="92">
        <f>SUM(I134:I138)</f>
        <v>80.91</v>
      </c>
      <c r="J133" s="92">
        <f>I133+H133</f>
        <v>281.38</v>
      </c>
      <c r="K133" s="92">
        <f>ROUND(H133*$F133,2)</f>
        <v>6815.98</v>
      </c>
      <c r="L133" s="92">
        <f>ROUND(I133*$F133,2)</f>
        <v>2750.94</v>
      </c>
      <c r="M133" s="100">
        <f>L133+K133</f>
        <v>9566.92</v>
      </c>
      <c r="N133" s="112">
        <f>$K$5</f>
        <v>0.2111176002216073</v>
      </c>
      <c r="O133" s="100">
        <f>ROUND(H133*(1+$N133),2)</f>
        <v>242.79</v>
      </c>
      <c r="P133" s="112">
        <f>$J$5</f>
        <v>0.26838623884514634</v>
      </c>
      <c r="Q133" s="100">
        <f>ROUND(I133*(1+$P133),2)</f>
        <v>102.63</v>
      </c>
      <c r="R133" s="28">
        <f>ROUND(O133*$F133,2)</f>
        <v>8254.86</v>
      </c>
      <c r="S133" s="28">
        <f>ROUND(Q133*$F133,2)</f>
        <v>3489.42</v>
      </c>
      <c r="T133" s="28">
        <f>S133+R133</f>
        <v>11744.28</v>
      </c>
      <c r="U133" s="6"/>
    </row>
    <row r="134" spans="1:21" ht="16.5" customHeight="1" x14ac:dyDescent="0.25">
      <c r="A134" s="303" t="s">
        <v>284</v>
      </c>
      <c r="B134" s="304" t="s">
        <v>294</v>
      </c>
      <c r="C134" s="250" t="s">
        <v>295</v>
      </c>
      <c r="D134" s="21" t="s">
        <v>296</v>
      </c>
      <c r="E134" s="22" t="s">
        <v>117</v>
      </c>
      <c r="F134" s="195">
        <v>1.0210999999999999</v>
      </c>
      <c r="G134" s="34">
        <v>174.79</v>
      </c>
      <c r="H134" s="93">
        <f>TRUNC(G134*F134,2)</f>
        <v>178.47</v>
      </c>
      <c r="I134" s="93"/>
      <c r="J134" s="93"/>
      <c r="K134" s="93"/>
      <c r="L134" s="224"/>
      <c r="M134" s="225"/>
      <c r="N134" s="113"/>
      <c r="O134" s="225"/>
      <c r="P134" s="113"/>
      <c r="Q134" s="225"/>
      <c r="R134" s="64"/>
      <c r="S134" s="29"/>
      <c r="T134" s="29"/>
      <c r="U134" s="6"/>
    </row>
    <row r="135" spans="1:21" ht="16.5" customHeight="1" x14ac:dyDescent="0.25">
      <c r="A135" s="303" t="s">
        <v>284</v>
      </c>
      <c r="B135" s="305" t="s">
        <v>294</v>
      </c>
      <c r="C135" s="228" t="s">
        <v>299</v>
      </c>
      <c r="D135" s="256" t="s">
        <v>300</v>
      </c>
      <c r="E135" s="22" t="s">
        <v>116</v>
      </c>
      <c r="F135" s="195">
        <v>0.12</v>
      </c>
      <c r="G135" s="34">
        <v>183.35</v>
      </c>
      <c r="H135" s="93">
        <f>TRUNC(G135*F135,2)</f>
        <v>22</v>
      </c>
      <c r="I135" s="93"/>
      <c r="J135" s="93"/>
      <c r="K135" s="93"/>
      <c r="L135" s="224"/>
      <c r="M135" s="225"/>
      <c r="N135" s="113"/>
      <c r="O135" s="225"/>
      <c r="P135" s="113"/>
      <c r="Q135" s="225"/>
      <c r="R135" s="64"/>
      <c r="S135" s="29"/>
      <c r="T135" s="29"/>
      <c r="U135" s="6"/>
    </row>
    <row r="136" spans="1:21" ht="16.5" customHeight="1" x14ac:dyDescent="0.25">
      <c r="A136" s="303" t="s">
        <v>285</v>
      </c>
      <c r="B136" s="305" t="s">
        <v>18</v>
      </c>
      <c r="C136" s="228">
        <v>88248</v>
      </c>
      <c r="D136" s="256" t="s">
        <v>23</v>
      </c>
      <c r="E136" s="22" t="s">
        <v>118</v>
      </c>
      <c r="F136" s="195">
        <v>0.88</v>
      </c>
      <c r="G136" s="34">
        <v>26.73</v>
      </c>
      <c r="H136" s="34"/>
      <c r="I136" s="34">
        <f>TRUNC(G136*F136,2)</f>
        <v>23.52</v>
      </c>
      <c r="J136" s="34"/>
      <c r="K136" s="34"/>
      <c r="L136" s="224"/>
      <c r="M136" s="225"/>
      <c r="N136" s="113"/>
      <c r="O136" s="225"/>
      <c r="P136" s="113"/>
      <c r="Q136" s="225"/>
      <c r="R136" s="64"/>
      <c r="S136" s="29"/>
      <c r="T136" s="29"/>
      <c r="U136" s="6"/>
    </row>
    <row r="137" spans="1:21" ht="16.5" customHeight="1" x14ac:dyDescent="0.25">
      <c r="A137" s="303" t="s">
        <v>285</v>
      </c>
      <c r="B137" s="305" t="s">
        <v>18</v>
      </c>
      <c r="C137" s="228">
        <v>88267</v>
      </c>
      <c r="D137" s="256" t="s">
        <v>24</v>
      </c>
      <c r="E137" s="22" t="s">
        <v>118</v>
      </c>
      <c r="F137" s="195">
        <v>0.88</v>
      </c>
      <c r="G137" s="34">
        <v>32.19</v>
      </c>
      <c r="H137" s="34"/>
      <c r="I137" s="34">
        <f>TRUNC(G137*F137,2)</f>
        <v>28.32</v>
      </c>
      <c r="J137" s="34"/>
      <c r="K137" s="34"/>
      <c r="L137" s="224"/>
      <c r="M137" s="225"/>
      <c r="N137" s="113"/>
      <c r="O137" s="225"/>
      <c r="P137" s="113"/>
      <c r="Q137" s="225"/>
      <c r="R137" s="64"/>
      <c r="S137" s="29"/>
      <c r="T137" s="29"/>
      <c r="U137" s="6"/>
    </row>
    <row r="138" spans="1:21" ht="16.5" customHeight="1" x14ac:dyDescent="0.25">
      <c r="A138" s="303" t="s">
        <v>285</v>
      </c>
      <c r="B138" s="305" t="s">
        <v>18</v>
      </c>
      <c r="C138" s="228">
        <v>88317</v>
      </c>
      <c r="D138" s="256" t="s">
        <v>155</v>
      </c>
      <c r="E138" s="22" t="s">
        <v>118</v>
      </c>
      <c r="F138" s="195">
        <v>0.88</v>
      </c>
      <c r="G138" s="34">
        <v>33.04</v>
      </c>
      <c r="H138" s="34"/>
      <c r="I138" s="34">
        <f>TRUNC(G138*F138,2)</f>
        <v>29.07</v>
      </c>
      <c r="J138" s="34"/>
      <c r="K138" s="34"/>
      <c r="L138" s="224"/>
      <c r="M138" s="225"/>
      <c r="N138" s="113"/>
      <c r="O138" s="225"/>
      <c r="P138" s="113"/>
      <c r="Q138" s="225"/>
      <c r="R138" s="64"/>
      <c r="S138" s="29"/>
      <c r="T138" s="29"/>
      <c r="U138" s="6"/>
    </row>
    <row r="139" spans="1:21" ht="16.5" customHeight="1" x14ac:dyDescent="0.25">
      <c r="A139" s="299" t="s">
        <v>173</v>
      </c>
      <c r="B139" s="300" t="s">
        <v>37</v>
      </c>
      <c r="C139" s="183"/>
      <c r="D139" s="25" t="s">
        <v>177</v>
      </c>
      <c r="E139" s="24" t="s">
        <v>116</v>
      </c>
      <c r="F139" s="197">
        <f>'Planilha Analítica'!F40</f>
        <v>8</v>
      </c>
      <c r="G139" s="89"/>
      <c r="H139" s="92">
        <f>SUM(H140:H142)</f>
        <v>9.41</v>
      </c>
      <c r="I139" s="92">
        <f>SUM(I140:I142)</f>
        <v>13.54</v>
      </c>
      <c r="J139" s="92">
        <f>I139+H139</f>
        <v>22.95</v>
      </c>
      <c r="K139" s="92">
        <f>ROUND(H139*$F139,2)</f>
        <v>75.28</v>
      </c>
      <c r="L139" s="92">
        <f>ROUND(I139*$F139,2)</f>
        <v>108.32</v>
      </c>
      <c r="M139" s="100">
        <f>L139+K139</f>
        <v>183.6</v>
      </c>
      <c r="N139" s="112">
        <f>$K$5</f>
        <v>0.2111176002216073</v>
      </c>
      <c r="O139" s="100">
        <f>ROUND(H139*(1+$N139),2)</f>
        <v>11.4</v>
      </c>
      <c r="P139" s="112">
        <f>$J$5</f>
        <v>0.26838623884514634</v>
      </c>
      <c r="Q139" s="100">
        <f>ROUND(I139*(1+$P139),2)</f>
        <v>17.170000000000002</v>
      </c>
      <c r="R139" s="28">
        <f>ROUND(O139*$F139,2)</f>
        <v>91.2</v>
      </c>
      <c r="S139" s="28">
        <f>ROUND(Q139*$F139,2)</f>
        <v>137.36000000000001</v>
      </c>
      <c r="T139" s="28">
        <f>S139+R139</f>
        <v>228.56</v>
      </c>
      <c r="U139" s="6"/>
    </row>
    <row r="140" spans="1:21" ht="16.5" customHeight="1" x14ac:dyDescent="0.25">
      <c r="A140" s="303" t="s">
        <v>284</v>
      </c>
      <c r="B140" s="304" t="s">
        <v>18</v>
      </c>
      <c r="C140" s="250">
        <v>42528</v>
      </c>
      <c r="D140" s="21" t="s">
        <v>301</v>
      </c>
      <c r="E140" s="22" t="s">
        <v>116</v>
      </c>
      <c r="F140" s="195">
        <v>1</v>
      </c>
      <c r="G140" s="34">
        <v>9.41</v>
      </c>
      <c r="H140" s="93">
        <f>TRUNC(G140*F140,2)</f>
        <v>9.41</v>
      </c>
      <c r="I140" s="93"/>
      <c r="J140" s="93"/>
      <c r="K140" s="93"/>
      <c r="L140" s="224"/>
      <c r="M140" s="225"/>
      <c r="N140" s="113"/>
      <c r="O140" s="225"/>
      <c r="P140" s="113"/>
      <c r="Q140" s="225"/>
      <c r="R140" s="64"/>
      <c r="S140" s="29"/>
      <c r="T140" s="29"/>
      <c r="U140" s="6"/>
    </row>
    <row r="141" spans="1:21" ht="16.5" customHeight="1" x14ac:dyDescent="0.25">
      <c r="A141" s="303" t="s">
        <v>285</v>
      </c>
      <c r="B141" s="305" t="s">
        <v>18</v>
      </c>
      <c r="C141" s="228">
        <v>88248</v>
      </c>
      <c r="D141" s="256" t="s">
        <v>23</v>
      </c>
      <c r="E141" s="22" t="s">
        <v>118</v>
      </c>
      <c r="F141" s="195">
        <v>0.23</v>
      </c>
      <c r="G141" s="34">
        <v>26.73</v>
      </c>
      <c r="H141" s="34"/>
      <c r="I141" s="34">
        <f>TRUNC(G141*F141,2)</f>
        <v>6.14</v>
      </c>
      <c r="J141" s="34"/>
      <c r="K141" s="34"/>
      <c r="L141" s="224"/>
      <c r="M141" s="225"/>
      <c r="N141" s="113"/>
      <c r="O141" s="225"/>
      <c r="P141" s="113"/>
      <c r="Q141" s="225"/>
      <c r="R141" s="64"/>
      <c r="S141" s="29"/>
      <c r="T141" s="29"/>
      <c r="U141" s="6"/>
    </row>
    <row r="142" spans="1:21" ht="16.5" customHeight="1" x14ac:dyDescent="0.25">
      <c r="A142" s="303" t="s">
        <v>285</v>
      </c>
      <c r="B142" s="305" t="s">
        <v>18</v>
      </c>
      <c r="C142" s="228">
        <v>88267</v>
      </c>
      <c r="D142" s="256" t="s">
        <v>24</v>
      </c>
      <c r="E142" s="22" t="s">
        <v>118</v>
      </c>
      <c r="F142" s="195">
        <v>0.23</v>
      </c>
      <c r="G142" s="34">
        <v>32.19</v>
      </c>
      <c r="H142" s="34"/>
      <c r="I142" s="34">
        <f>TRUNC(G142*F142,2)</f>
        <v>7.4</v>
      </c>
      <c r="J142" s="34"/>
      <c r="K142" s="34"/>
      <c r="L142" s="224"/>
      <c r="M142" s="225"/>
      <c r="N142" s="113"/>
      <c r="O142" s="225"/>
      <c r="P142" s="113"/>
      <c r="Q142" s="225"/>
      <c r="R142" s="64"/>
      <c r="S142" s="29"/>
      <c r="T142" s="29"/>
      <c r="U142" s="6"/>
    </row>
    <row r="143" spans="1:21" ht="16.5" customHeight="1" x14ac:dyDescent="0.25">
      <c r="A143" s="299" t="s">
        <v>175</v>
      </c>
      <c r="B143" s="300" t="s">
        <v>37</v>
      </c>
      <c r="C143" s="183"/>
      <c r="D143" s="25" t="s">
        <v>266</v>
      </c>
      <c r="E143" s="24" t="s">
        <v>121</v>
      </c>
      <c r="F143" s="197">
        <f>'Planilha Analítica'!F41</f>
        <v>26</v>
      </c>
      <c r="G143" s="89"/>
      <c r="H143" s="92">
        <f>SUM(H144:H146)</f>
        <v>60.63</v>
      </c>
      <c r="I143" s="92">
        <f>SUM(I144:I146)</f>
        <v>14.719999999999999</v>
      </c>
      <c r="J143" s="92">
        <f>I143+H143</f>
        <v>75.349999999999994</v>
      </c>
      <c r="K143" s="92">
        <f>ROUND(H143*$F143,2)</f>
        <v>1576.38</v>
      </c>
      <c r="L143" s="92">
        <f>ROUND(I143*$F143,2)</f>
        <v>382.72</v>
      </c>
      <c r="M143" s="100">
        <f>L143+K143</f>
        <v>1959.1000000000001</v>
      </c>
      <c r="N143" s="112">
        <f>$K$5</f>
        <v>0.2111176002216073</v>
      </c>
      <c r="O143" s="100">
        <f>ROUND(H143*(1+$N143),2)</f>
        <v>73.430000000000007</v>
      </c>
      <c r="P143" s="112">
        <f>$J$5</f>
        <v>0.26838623884514634</v>
      </c>
      <c r="Q143" s="100">
        <f>ROUND(I143*(1+$P143),2)</f>
        <v>18.670000000000002</v>
      </c>
      <c r="R143" s="28">
        <f>ROUND(O143*$F143,2)</f>
        <v>1909.18</v>
      </c>
      <c r="S143" s="28">
        <f>ROUND(Q143*$F143,2)</f>
        <v>485.42</v>
      </c>
      <c r="T143" s="28">
        <f>S143+R143</f>
        <v>2394.6</v>
      </c>
      <c r="U143" s="6"/>
    </row>
    <row r="144" spans="1:21" ht="16.5" customHeight="1" x14ac:dyDescent="0.25">
      <c r="A144" s="303" t="s">
        <v>284</v>
      </c>
      <c r="B144" s="304" t="s">
        <v>21</v>
      </c>
      <c r="C144" s="250" t="s">
        <v>373</v>
      </c>
      <c r="D144" s="21" t="s">
        <v>326</v>
      </c>
      <c r="E144" s="22" t="s">
        <v>126</v>
      </c>
      <c r="F144" s="195">
        <f>1.05/11.35</f>
        <v>9.2511013215859042E-2</v>
      </c>
      <c r="G144" s="34">
        <v>655.39</v>
      </c>
      <c r="H144" s="93">
        <f>TRUNC(G144*F144,2)</f>
        <v>60.63</v>
      </c>
      <c r="I144" s="93"/>
      <c r="J144" s="93"/>
      <c r="K144" s="93"/>
      <c r="L144" s="224"/>
      <c r="M144" s="225"/>
      <c r="N144" s="113"/>
      <c r="O144" s="225"/>
      <c r="P144" s="113"/>
      <c r="Q144" s="225"/>
      <c r="R144" s="64"/>
      <c r="S144" s="29"/>
      <c r="T144" s="29"/>
      <c r="U144" s="6"/>
    </row>
    <row r="145" spans="1:21" ht="16.5" customHeight="1" x14ac:dyDescent="0.25">
      <c r="A145" s="303" t="s">
        <v>285</v>
      </c>
      <c r="B145" s="305" t="s">
        <v>18</v>
      </c>
      <c r="C145" s="228">
        <v>88248</v>
      </c>
      <c r="D145" s="256" t="s">
        <v>23</v>
      </c>
      <c r="E145" s="22" t="s">
        <v>118</v>
      </c>
      <c r="F145" s="195">
        <v>0.25</v>
      </c>
      <c r="G145" s="34">
        <v>26.73</v>
      </c>
      <c r="H145" s="34"/>
      <c r="I145" s="34">
        <f>TRUNC(G145*F145,2)</f>
        <v>6.68</v>
      </c>
      <c r="J145" s="34"/>
      <c r="K145" s="34"/>
      <c r="L145" s="224"/>
      <c r="M145" s="225"/>
      <c r="N145" s="113"/>
      <c r="O145" s="225"/>
      <c r="P145" s="113"/>
      <c r="Q145" s="225"/>
      <c r="R145" s="64"/>
      <c r="S145" s="29"/>
      <c r="T145" s="29"/>
      <c r="U145" s="6"/>
    </row>
    <row r="146" spans="1:21" ht="16.5" customHeight="1" x14ac:dyDescent="0.25">
      <c r="A146" s="303" t="s">
        <v>285</v>
      </c>
      <c r="B146" s="305" t="s">
        <v>18</v>
      </c>
      <c r="C146" s="228">
        <v>88267</v>
      </c>
      <c r="D146" s="256" t="s">
        <v>24</v>
      </c>
      <c r="E146" s="22" t="s">
        <v>118</v>
      </c>
      <c r="F146" s="195">
        <v>0.25</v>
      </c>
      <c r="G146" s="34">
        <v>32.19</v>
      </c>
      <c r="H146" s="34"/>
      <c r="I146" s="34">
        <f>TRUNC(G146*F146,2)</f>
        <v>8.0399999999999991</v>
      </c>
      <c r="J146" s="34"/>
      <c r="K146" s="34"/>
      <c r="L146" s="224"/>
      <c r="M146" s="225"/>
      <c r="N146" s="113"/>
      <c r="O146" s="225"/>
      <c r="P146" s="113"/>
      <c r="Q146" s="225"/>
      <c r="R146" s="64"/>
      <c r="S146" s="29"/>
      <c r="T146" s="29"/>
      <c r="U146" s="6"/>
    </row>
    <row r="147" spans="1:21" ht="16.5" customHeight="1" x14ac:dyDescent="0.25">
      <c r="A147" s="299" t="s">
        <v>176</v>
      </c>
      <c r="B147" s="300" t="s">
        <v>37</v>
      </c>
      <c r="C147" s="183"/>
      <c r="D147" s="25" t="s">
        <v>179</v>
      </c>
      <c r="E147" s="24" t="s">
        <v>126</v>
      </c>
      <c r="F147" s="197">
        <f>'Planilha Analítica'!F42</f>
        <v>15</v>
      </c>
      <c r="G147" s="89"/>
      <c r="H147" s="92">
        <f>SUM(H148:H150)</f>
        <v>139</v>
      </c>
      <c r="I147" s="92">
        <f>SUM(I148:I150)</f>
        <v>51.25</v>
      </c>
      <c r="J147" s="92">
        <f>I147+H147</f>
        <v>190.25</v>
      </c>
      <c r="K147" s="92">
        <f>ROUND(H147*$F147,2)</f>
        <v>2085</v>
      </c>
      <c r="L147" s="92">
        <f>ROUND(I147*$F147,2)</f>
        <v>768.75</v>
      </c>
      <c r="M147" s="100">
        <f>L147+K147</f>
        <v>2853.75</v>
      </c>
      <c r="N147" s="112">
        <f>$K$5</f>
        <v>0.2111176002216073</v>
      </c>
      <c r="O147" s="100">
        <f>ROUND(H147*(1+$N147),2)</f>
        <v>168.35</v>
      </c>
      <c r="P147" s="112">
        <f>$J$5</f>
        <v>0.26838623884514634</v>
      </c>
      <c r="Q147" s="100">
        <f>ROUND(I147*(1+$P147),2)</f>
        <v>65</v>
      </c>
      <c r="R147" s="28">
        <f>ROUND(O147*$F147,2)</f>
        <v>2525.25</v>
      </c>
      <c r="S147" s="28">
        <f>ROUND(Q147*$F147,2)</f>
        <v>975</v>
      </c>
      <c r="T147" s="28">
        <f>S147+R147</f>
        <v>3500.25</v>
      </c>
      <c r="U147" s="6"/>
    </row>
    <row r="148" spans="1:21" ht="16.5" customHeight="1" x14ac:dyDescent="0.25">
      <c r="A148" s="303" t="s">
        <v>284</v>
      </c>
      <c r="B148" s="304" t="s">
        <v>21</v>
      </c>
      <c r="C148" s="250" t="s">
        <v>373</v>
      </c>
      <c r="D148" s="27" t="s">
        <v>180</v>
      </c>
      <c r="E148" s="22" t="s">
        <v>126</v>
      </c>
      <c r="F148" s="195">
        <v>1</v>
      </c>
      <c r="G148" s="34">
        <v>139</v>
      </c>
      <c r="H148" s="93">
        <f>TRUNC(G148*F148,2)</f>
        <v>139</v>
      </c>
      <c r="I148" s="93"/>
      <c r="J148" s="93"/>
      <c r="K148" s="93"/>
      <c r="L148" s="224"/>
      <c r="M148" s="225"/>
      <c r="N148" s="113"/>
      <c r="O148" s="225"/>
      <c r="P148" s="113"/>
      <c r="Q148" s="225"/>
      <c r="R148" s="64"/>
      <c r="S148" s="29"/>
      <c r="T148" s="29"/>
      <c r="U148" s="6"/>
    </row>
    <row r="149" spans="1:21" ht="16.5" customHeight="1" x14ac:dyDescent="0.25">
      <c r="A149" s="303" t="s">
        <v>285</v>
      </c>
      <c r="B149" s="305" t="s">
        <v>18</v>
      </c>
      <c r="C149" s="228">
        <v>88248</v>
      </c>
      <c r="D149" s="256" t="s">
        <v>23</v>
      </c>
      <c r="E149" s="22" t="s">
        <v>118</v>
      </c>
      <c r="F149" s="195">
        <v>0.87</v>
      </c>
      <c r="G149" s="34">
        <v>26.73</v>
      </c>
      <c r="H149" s="34"/>
      <c r="I149" s="34">
        <f>TRUNC(G149*F149,2)</f>
        <v>23.25</v>
      </c>
      <c r="J149" s="34"/>
      <c r="K149" s="34"/>
      <c r="L149" s="224"/>
      <c r="M149" s="225"/>
      <c r="N149" s="113"/>
      <c r="O149" s="225"/>
      <c r="P149" s="113"/>
      <c r="Q149" s="225"/>
      <c r="R149" s="64"/>
      <c r="S149" s="29"/>
      <c r="T149" s="29"/>
      <c r="U149" s="6"/>
    </row>
    <row r="150" spans="1:21" ht="16.5" customHeight="1" x14ac:dyDescent="0.25">
      <c r="A150" s="303" t="s">
        <v>285</v>
      </c>
      <c r="B150" s="305" t="s">
        <v>18</v>
      </c>
      <c r="C150" s="228">
        <v>88267</v>
      </c>
      <c r="D150" s="256" t="s">
        <v>24</v>
      </c>
      <c r="E150" s="22" t="s">
        <v>118</v>
      </c>
      <c r="F150" s="195">
        <v>0.87</v>
      </c>
      <c r="G150" s="34">
        <v>32.19</v>
      </c>
      <c r="H150" s="34"/>
      <c r="I150" s="34">
        <f>TRUNC(G150*F150,2)</f>
        <v>28</v>
      </c>
      <c r="J150" s="34"/>
      <c r="K150" s="34"/>
      <c r="L150" s="224"/>
      <c r="M150" s="225"/>
      <c r="N150" s="113"/>
      <c r="O150" s="225"/>
      <c r="P150" s="113"/>
      <c r="Q150" s="225"/>
      <c r="R150" s="64"/>
      <c r="S150" s="29"/>
      <c r="T150" s="29"/>
      <c r="U150" s="6"/>
    </row>
    <row r="151" spans="1:21" ht="16.5" customHeight="1" x14ac:dyDescent="0.25">
      <c r="A151" s="299" t="s">
        <v>178</v>
      </c>
      <c r="B151" s="300" t="s">
        <v>37</v>
      </c>
      <c r="C151" s="183"/>
      <c r="D151" s="25" t="s">
        <v>181</v>
      </c>
      <c r="E151" s="24" t="s">
        <v>126</v>
      </c>
      <c r="F151" s="197">
        <f>'Planilha Analítica'!F43</f>
        <v>15</v>
      </c>
      <c r="G151" s="89"/>
      <c r="H151" s="92">
        <f>SUM(H152:H154)</f>
        <v>198</v>
      </c>
      <c r="I151" s="92">
        <f>SUM(I152:I154)</f>
        <v>51.25</v>
      </c>
      <c r="J151" s="92">
        <f>I151+H151</f>
        <v>249.25</v>
      </c>
      <c r="K151" s="92">
        <f>ROUND(H151*$F151,2)</f>
        <v>2970</v>
      </c>
      <c r="L151" s="92">
        <f>ROUND(I151*$F151,2)</f>
        <v>768.75</v>
      </c>
      <c r="M151" s="100">
        <f>L151+K151</f>
        <v>3738.75</v>
      </c>
      <c r="N151" s="112">
        <f>$K$5</f>
        <v>0.2111176002216073</v>
      </c>
      <c r="O151" s="100">
        <f>ROUND(H151*(1+$N151),2)</f>
        <v>239.8</v>
      </c>
      <c r="P151" s="112">
        <f>$J$5</f>
        <v>0.26838623884514634</v>
      </c>
      <c r="Q151" s="100">
        <f>ROUND(I151*(1+$P151),2)</f>
        <v>65</v>
      </c>
      <c r="R151" s="28">
        <f>ROUND(O151*$F151,2)</f>
        <v>3597</v>
      </c>
      <c r="S151" s="28">
        <f>ROUND(Q151*$F151,2)</f>
        <v>975</v>
      </c>
      <c r="T151" s="28">
        <f>S151+R151</f>
        <v>4572</v>
      </c>
      <c r="U151" s="6"/>
    </row>
    <row r="152" spans="1:21" ht="16.5" customHeight="1" x14ac:dyDescent="0.25">
      <c r="A152" s="303" t="s">
        <v>284</v>
      </c>
      <c r="B152" s="304" t="s">
        <v>21</v>
      </c>
      <c r="C152" s="250" t="s">
        <v>373</v>
      </c>
      <c r="D152" s="27" t="s">
        <v>182</v>
      </c>
      <c r="E152" s="22" t="s">
        <v>126</v>
      </c>
      <c r="F152" s="195">
        <v>1</v>
      </c>
      <c r="G152" s="34">
        <v>198</v>
      </c>
      <c r="H152" s="93">
        <f>TRUNC(G152*F152,2)</f>
        <v>198</v>
      </c>
      <c r="I152" s="93"/>
      <c r="J152" s="93"/>
      <c r="K152" s="93"/>
      <c r="L152" s="224"/>
      <c r="M152" s="225"/>
      <c r="N152" s="113"/>
      <c r="O152" s="225"/>
      <c r="P152" s="113"/>
      <c r="Q152" s="225"/>
      <c r="R152" s="64"/>
      <c r="S152" s="29"/>
      <c r="T152" s="29"/>
      <c r="U152" s="6"/>
    </row>
    <row r="153" spans="1:21" ht="16.5" customHeight="1" x14ac:dyDescent="0.25">
      <c r="A153" s="303" t="s">
        <v>285</v>
      </c>
      <c r="B153" s="304" t="s">
        <v>18</v>
      </c>
      <c r="C153" s="250">
        <v>88248</v>
      </c>
      <c r="D153" s="21" t="s">
        <v>23</v>
      </c>
      <c r="E153" s="22" t="s">
        <v>118</v>
      </c>
      <c r="F153" s="195">
        <v>0.87</v>
      </c>
      <c r="G153" s="34">
        <v>26.73</v>
      </c>
      <c r="H153" s="34"/>
      <c r="I153" s="34">
        <f>TRUNC(G153*F153,2)</f>
        <v>23.25</v>
      </c>
      <c r="J153" s="34"/>
      <c r="K153" s="34"/>
      <c r="L153" s="224"/>
      <c r="M153" s="225"/>
      <c r="N153" s="113"/>
      <c r="O153" s="225"/>
      <c r="P153" s="113"/>
      <c r="Q153" s="225"/>
      <c r="R153" s="64"/>
      <c r="S153" s="29"/>
      <c r="T153" s="29"/>
      <c r="U153" s="6"/>
    </row>
    <row r="154" spans="1:21" ht="16.5" customHeight="1" thickBot="1" x14ac:dyDescent="0.3">
      <c r="A154" s="303" t="s">
        <v>285</v>
      </c>
      <c r="B154" s="304" t="s">
        <v>18</v>
      </c>
      <c r="C154" s="250">
        <v>88267</v>
      </c>
      <c r="D154" s="21" t="s">
        <v>24</v>
      </c>
      <c r="E154" s="22" t="s">
        <v>118</v>
      </c>
      <c r="F154" s="195">
        <v>0.87</v>
      </c>
      <c r="G154" s="34">
        <v>32.19</v>
      </c>
      <c r="H154" s="34"/>
      <c r="I154" s="34">
        <f>TRUNC(G154*F154,2)</f>
        <v>28</v>
      </c>
      <c r="J154" s="34"/>
      <c r="K154" s="34"/>
      <c r="L154" s="224"/>
      <c r="M154" s="225"/>
      <c r="N154" s="113"/>
      <c r="O154" s="225"/>
      <c r="P154" s="113"/>
      <c r="Q154" s="225"/>
      <c r="R154" s="64"/>
      <c r="S154" s="29"/>
      <c r="T154" s="29"/>
      <c r="U154" s="6"/>
    </row>
    <row r="155" spans="1:21" ht="16.5" customHeight="1" x14ac:dyDescent="0.25">
      <c r="A155" s="257">
        <v>5</v>
      </c>
      <c r="B155" s="298"/>
      <c r="C155" s="258"/>
      <c r="D155" s="80" t="s">
        <v>404</v>
      </c>
      <c r="E155" s="83"/>
      <c r="F155" s="339"/>
      <c r="G155" s="179"/>
      <c r="H155" s="83"/>
      <c r="I155" s="83"/>
      <c r="J155" s="104"/>
      <c r="K155" s="84">
        <f>SUM(K156:K178)</f>
        <v>10806.779999999999</v>
      </c>
      <c r="L155" s="85">
        <f>SUM(L156:L178)</f>
        <v>8675.1299999999992</v>
      </c>
      <c r="M155" s="81">
        <f>L155+K155</f>
        <v>19481.909999999996</v>
      </c>
      <c r="N155" s="115">
        <f>$K$5</f>
        <v>0.2111176002216073</v>
      </c>
      <c r="O155" s="104"/>
      <c r="P155" s="115">
        <f>$J$5</f>
        <v>0.26838623884514634</v>
      </c>
      <c r="Q155" s="104"/>
      <c r="R155" s="84">
        <f>SUM(R156:R178)</f>
        <v>13088.35</v>
      </c>
      <c r="S155" s="85">
        <f>SUM(S156:S178)</f>
        <v>11003.720000000001</v>
      </c>
      <c r="T155" s="82">
        <f>S155+R155</f>
        <v>24092.07</v>
      </c>
      <c r="U155" s="6"/>
    </row>
    <row r="156" spans="1:21" ht="16.5" customHeight="1" x14ac:dyDescent="0.25">
      <c r="A156" s="299" t="s">
        <v>71</v>
      </c>
      <c r="B156" s="300" t="s">
        <v>37</v>
      </c>
      <c r="C156" s="183"/>
      <c r="D156" s="25" t="s">
        <v>183</v>
      </c>
      <c r="E156" s="24" t="s">
        <v>116</v>
      </c>
      <c r="F156" s="197">
        <f>'Planilha Analítica'!F45</f>
        <v>65</v>
      </c>
      <c r="G156" s="89"/>
      <c r="H156" s="92">
        <f>SUM(H157:H162)</f>
        <v>133.62</v>
      </c>
      <c r="I156" s="92">
        <f>SUM(I157:I162)</f>
        <v>104.75999999999999</v>
      </c>
      <c r="J156" s="92">
        <f>I156+H156</f>
        <v>238.38</v>
      </c>
      <c r="K156" s="92">
        <f>ROUND(H156*$F156,2)</f>
        <v>8685.2999999999993</v>
      </c>
      <c r="L156" s="92">
        <f>ROUND(I156*$F156,2)</f>
        <v>6809.4</v>
      </c>
      <c r="M156" s="100">
        <f>L156+K156</f>
        <v>15494.699999999999</v>
      </c>
      <c r="N156" s="112">
        <f>$K$5</f>
        <v>0.2111176002216073</v>
      </c>
      <c r="O156" s="100">
        <f>ROUND(H156*(1+$N156),2)</f>
        <v>161.83000000000001</v>
      </c>
      <c r="P156" s="112">
        <f>$J$5</f>
        <v>0.26838623884514634</v>
      </c>
      <c r="Q156" s="100">
        <f>ROUND(I156*(1+$P156),2)</f>
        <v>132.88</v>
      </c>
      <c r="R156" s="28">
        <f>ROUND(O156*$F156,2)</f>
        <v>10518.95</v>
      </c>
      <c r="S156" s="28">
        <f>ROUND(Q156*$F156,2)</f>
        <v>8637.2000000000007</v>
      </c>
      <c r="T156" s="28">
        <f>S156+R156</f>
        <v>19156.150000000001</v>
      </c>
      <c r="U156" s="6"/>
    </row>
    <row r="157" spans="1:21" ht="16.5" customHeight="1" x14ac:dyDescent="0.25">
      <c r="A157" s="303" t="s">
        <v>284</v>
      </c>
      <c r="B157" s="304" t="s">
        <v>21</v>
      </c>
      <c r="C157" s="250" t="s">
        <v>373</v>
      </c>
      <c r="D157" s="27" t="s">
        <v>322</v>
      </c>
      <c r="E157" s="22" t="s">
        <v>116</v>
      </c>
      <c r="F157" s="195">
        <v>1</v>
      </c>
      <c r="G157" s="34">
        <v>98.33</v>
      </c>
      <c r="H157" s="93">
        <f>TRUNC(G157*F157,2)</f>
        <v>98.33</v>
      </c>
      <c r="I157" s="93"/>
      <c r="J157" s="93"/>
      <c r="K157" s="93"/>
      <c r="L157" s="224"/>
      <c r="M157" s="225"/>
      <c r="N157" s="113"/>
      <c r="O157" s="225"/>
      <c r="P157" s="113"/>
      <c r="Q157" s="225"/>
      <c r="R157" s="64"/>
      <c r="S157" s="29"/>
      <c r="T157" s="29"/>
      <c r="U157" s="6"/>
    </row>
    <row r="158" spans="1:21" ht="16.5" customHeight="1" x14ac:dyDescent="0.25">
      <c r="A158" s="303" t="s">
        <v>284</v>
      </c>
      <c r="B158" s="304" t="s">
        <v>18</v>
      </c>
      <c r="C158" s="250">
        <v>4791</v>
      </c>
      <c r="D158" s="27" t="s">
        <v>184</v>
      </c>
      <c r="E158" s="22" t="s">
        <v>121</v>
      </c>
      <c r="F158" s="195">
        <v>0.4</v>
      </c>
      <c r="G158" s="34">
        <v>49.59</v>
      </c>
      <c r="H158" s="93">
        <f>TRUNC(G158*F158,2)</f>
        <v>19.829999999999998</v>
      </c>
      <c r="I158" s="93"/>
      <c r="J158" s="93"/>
      <c r="K158" s="93"/>
      <c r="L158" s="224"/>
      <c r="M158" s="225"/>
      <c r="N158" s="113"/>
      <c r="O158" s="225"/>
      <c r="P158" s="113"/>
      <c r="Q158" s="225"/>
      <c r="R158" s="64"/>
      <c r="S158" s="29"/>
      <c r="T158" s="29"/>
      <c r="U158" s="6"/>
    </row>
    <row r="159" spans="1:21" ht="16.5" customHeight="1" x14ac:dyDescent="0.25">
      <c r="A159" s="303" t="s">
        <v>284</v>
      </c>
      <c r="B159" s="304" t="s">
        <v>18</v>
      </c>
      <c r="C159" s="250">
        <v>39961</v>
      </c>
      <c r="D159" s="27" t="s">
        <v>309</v>
      </c>
      <c r="E159" s="22" t="s">
        <v>126</v>
      </c>
      <c r="F159" s="195">
        <v>0.4</v>
      </c>
      <c r="G159" s="34">
        <v>23.04</v>
      </c>
      <c r="H159" s="93">
        <f>TRUNC(G159*F159,2)</f>
        <v>9.2100000000000009</v>
      </c>
      <c r="I159" s="93"/>
      <c r="J159" s="93"/>
      <c r="K159" s="93"/>
      <c r="L159" s="224"/>
      <c r="M159" s="225"/>
      <c r="N159" s="113"/>
      <c r="O159" s="225"/>
      <c r="P159" s="113"/>
      <c r="Q159" s="225"/>
      <c r="R159" s="64"/>
      <c r="S159" s="29"/>
      <c r="T159" s="29"/>
      <c r="U159" s="6"/>
    </row>
    <row r="160" spans="1:21" ht="16.5" customHeight="1" x14ac:dyDescent="0.25">
      <c r="A160" s="303" t="s">
        <v>284</v>
      </c>
      <c r="B160" s="304" t="s">
        <v>18</v>
      </c>
      <c r="C160" s="250">
        <v>42529</v>
      </c>
      <c r="D160" s="27" t="s">
        <v>304</v>
      </c>
      <c r="E160" s="22" t="s">
        <v>117</v>
      </c>
      <c r="F160" s="195">
        <v>4.5</v>
      </c>
      <c r="G160" s="34">
        <v>1.39</v>
      </c>
      <c r="H160" s="93">
        <f>TRUNC(G160*F160,2)</f>
        <v>6.25</v>
      </c>
      <c r="I160" s="93"/>
      <c r="J160" s="93"/>
      <c r="K160" s="93"/>
      <c r="L160" s="224"/>
      <c r="M160" s="225"/>
      <c r="N160" s="113"/>
      <c r="O160" s="225"/>
      <c r="P160" s="113"/>
      <c r="Q160" s="225"/>
      <c r="R160" s="64"/>
      <c r="S160" s="29"/>
      <c r="T160" s="29"/>
      <c r="U160" s="6"/>
    </row>
    <row r="161" spans="1:21" ht="16.5" customHeight="1" x14ac:dyDescent="0.25">
      <c r="A161" s="303" t="s">
        <v>285</v>
      </c>
      <c r="B161" s="304" t="s">
        <v>18</v>
      </c>
      <c r="C161" s="250">
        <v>88277</v>
      </c>
      <c r="D161" s="21" t="s">
        <v>185</v>
      </c>
      <c r="E161" s="22" t="s">
        <v>118</v>
      </c>
      <c r="F161" s="195">
        <v>1.73</v>
      </c>
      <c r="G161" s="34">
        <v>30.21</v>
      </c>
      <c r="H161" s="34"/>
      <c r="I161" s="34">
        <f>TRUNC(G161*F161,2)</f>
        <v>52.26</v>
      </c>
      <c r="J161" s="34"/>
      <c r="K161" s="34"/>
      <c r="L161" s="224"/>
      <c r="M161" s="225"/>
      <c r="N161" s="113"/>
      <c r="O161" s="225"/>
      <c r="P161" s="113"/>
      <c r="Q161" s="225"/>
      <c r="R161" s="64"/>
      <c r="S161" s="29"/>
      <c r="T161" s="29"/>
      <c r="U161" s="6"/>
    </row>
    <row r="162" spans="1:21" ht="16.5" customHeight="1" x14ac:dyDescent="0.25">
      <c r="A162" s="303" t="s">
        <v>285</v>
      </c>
      <c r="B162" s="304" t="s">
        <v>18</v>
      </c>
      <c r="C162" s="250">
        <v>88279</v>
      </c>
      <c r="D162" s="21" t="s">
        <v>186</v>
      </c>
      <c r="E162" s="22" t="s">
        <v>118</v>
      </c>
      <c r="F162" s="195">
        <v>1.73</v>
      </c>
      <c r="G162" s="34">
        <v>30.35</v>
      </c>
      <c r="H162" s="34"/>
      <c r="I162" s="34">
        <f>TRUNC(G162*F162,2)</f>
        <v>52.5</v>
      </c>
      <c r="J162" s="34"/>
      <c r="K162" s="34"/>
      <c r="L162" s="224"/>
      <c r="M162" s="225"/>
      <c r="N162" s="113"/>
      <c r="O162" s="225"/>
      <c r="P162" s="113"/>
      <c r="Q162" s="225"/>
      <c r="R162" s="64"/>
      <c r="S162" s="29"/>
      <c r="T162" s="29"/>
      <c r="U162" s="6"/>
    </row>
    <row r="163" spans="1:21" ht="16.5" customHeight="1" x14ac:dyDescent="0.25">
      <c r="A163" s="299" t="s">
        <v>72</v>
      </c>
      <c r="B163" s="300" t="s">
        <v>37</v>
      </c>
      <c r="C163" s="183"/>
      <c r="D163" s="19" t="s">
        <v>397</v>
      </c>
      <c r="E163" s="24" t="s">
        <v>126</v>
      </c>
      <c r="F163" s="197">
        <f>'Planilha Analítica'!F46</f>
        <v>4</v>
      </c>
      <c r="G163" s="89"/>
      <c r="H163" s="92">
        <f>SUM(H164:H166)</f>
        <v>182.67</v>
      </c>
      <c r="I163" s="92">
        <f>SUM(I164:I166)</f>
        <v>72.67</v>
      </c>
      <c r="J163" s="92">
        <f>I163+H163</f>
        <v>255.33999999999997</v>
      </c>
      <c r="K163" s="92">
        <f>ROUND(H163*$F163,2)</f>
        <v>730.68</v>
      </c>
      <c r="L163" s="92">
        <f>ROUND(I163*$F163,2)</f>
        <v>290.68</v>
      </c>
      <c r="M163" s="100">
        <f>L163+K163</f>
        <v>1021.3599999999999</v>
      </c>
      <c r="N163" s="112">
        <f>$K$5</f>
        <v>0.2111176002216073</v>
      </c>
      <c r="O163" s="100">
        <f>ROUND(H163*(1+$N163),2)</f>
        <v>221.23</v>
      </c>
      <c r="P163" s="112">
        <f>$J$5</f>
        <v>0.26838623884514634</v>
      </c>
      <c r="Q163" s="100">
        <f>ROUND(I163*(1+$P163),2)</f>
        <v>92.17</v>
      </c>
      <c r="R163" s="28">
        <f>ROUND(O163*$F163,2)</f>
        <v>884.92</v>
      </c>
      <c r="S163" s="28">
        <f>ROUND(Q163*$F163,2)</f>
        <v>368.68</v>
      </c>
      <c r="T163" s="28">
        <f>S163+R163</f>
        <v>1253.5999999999999</v>
      </c>
      <c r="U163" s="6"/>
    </row>
    <row r="164" spans="1:21" x14ac:dyDescent="0.25">
      <c r="A164" s="303" t="s">
        <v>284</v>
      </c>
      <c r="B164" s="305" t="s">
        <v>294</v>
      </c>
      <c r="C164" s="250" t="s">
        <v>373</v>
      </c>
      <c r="D164" s="27" t="s">
        <v>398</v>
      </c>
      <c r="E164" s="22" t="s">
        <v>126</v>
      </c>
      <c r="F164" s="195">
        <v>1</v>
      </c>
      <c r="G164" s="34">
        <v>182.67</v>
      </c>
      <c r="H164" s="93">
        <f>TRUNC(G164*F164,2)</f>
        <v>182.67</v>
      </c>
      <c r="I164" s="93"/>
      <c r="J164" s="93"/>
      <c r="K164" s="93"/>
      <c r="L164" s="224"/>
      <c r="M164" s="225"/>
      <c r="N164" s="113"/>
      <c r="O164" s="225"/>
      <c r="P164" s="113"/>
      <c r="Q164" s="225"/>
      <c r="R164" s="64"/>
      <c r="S164" s="29"/>
      <c r="T164" s="29"/>
      <c r="U164" s="6"/>
    </row>
    <row r="165" spans="1:21" ht="16.5" customHeight="1" x14ac:dyDescent="0.25">
      <c r="A165" s="303" t="s">
        <v>285</v>
      </c>
      <c r="B165" s="304" t="s">
        <v>18</v>
      </c>
      <c r="C165" s="250">
        <v>88277</v>
      </c>
      <c r="D165" s="21" t="s">
        <v>185</v>
      </c>
      <c r="E165" s="22" t="s">
        <v>118</v>
      </c>
      <c r="F165" s="195">
        <v>1.2</v>
      </c>
      <c r="G165" s="34">
        <v>30.21</v>
      </c>
      <c r="H165" s="34"/>
      <c r="I165" s="34">
        <f>TRUNC(G165*F165,2)</f>
        <v>36.25</v>
      </c>
      <c r="J165" s="34"/>
      <c r="K165" s="34"/>
      <c r="L165" s="224"/>
      <c r="M165" s="225"/>
      <c r="N165" s="113"/>
      <c r="O165" s="225"/>
      <c r="P165" s="113"/>
      <c r="Q165" s="225"/>
      <c r="R165" s="64"/>
      <c r="S165" s="29"/>
      <c r="T165" s="29"/>
      <c r="U165" s="6"/>
    </row>
    <row r="166" spans="1:21" ht="16.5" customHeight="1" x14ac:dyDescent="0.25">
      <c r="A166" s="303" t="s">
        <v>285</v>
      </c>
      <c r="B166" s="304" t="s">
        <v>18</v>
      </c>
      <c r="C166" s="250">
        <v>88279</v>
      </c>
      <c r="D166" s="21" t="s">
        <v>186</v>
      </c>
      <c r="E166" s="22" t="s">
        <v>118</v>
      </c>
      <c r="F166" s="195">
        <v>1.2</v>
      </c>
      <c r="G166" s="34">
        <v>30.35</v>
      </c>
      <c r="H166" s="34"/>
      <c r="I166" s="34">
        <f>TRUNC(G166*F166,2)</f>
        <v>36.42</v>
      </c>
      <c r="J166" s="34"/>
      <c r="K166" s="34"/>
      <c r="L166" s="224"/>
      <c r="M166" s="225"/>
      <c r="N166" s="113"/>
      <c r="O166" s="225"/>
      <c r="P166" s="113"/>
      <c r="Q166" s="225"/>
      <c r="R166" s="64"/>
      <c r="S166" s="29"/>
      <c r="T166" s="29"/>
      <c r="U166" s="6"/>
    </row>
    <row r="167" spans="1:21" ht="16.5" customHeight="1" x14ac:dyDescent="0.25">
      <c r="A167" s="299" t="s">
        <v>73</v>
      </c>
      <c r="B167" s="300" t="s">
        <v>37</v>
      </c>
      <c r="C167" s="183"/>
      <c r="D167" s="19" t="s">
        <v>364</v>
      </c>
      <c r="E167" s="24" t="s">
        <v>126</v>
      </c>
      <c r="F167" s="197">
        <f>'Planilha Analítica'!F47</f>
        <v>15</v>
      </c>
      <c r="G167" s="89"/>
      <c r="H167" s="92">
        <f>SUM(H168:H170)</f>
        <v>79.7</v>
      </c>
      <c r="I167" s="92">
        <f>SUM(I168:I170)</f>
        <v>92.65</v>
      </c>
      <c r="J167" s="92">
        <f>I167+H167</f>
        <v>172.35000000000002</v>
      </c>
      <c r="K167" s="92">
        <f>ROUND(H167*$F167,2)</f>
        <v>1195.5</v>
      </c>
      <c r="L167" s="92">
        <f>ROUND(I167*$F167,2)</f>
        <v>1389.75</v>
      </c>
      <c r="M167" s="100">
        <f>L167+K167</f>
        <v>2585.25</v>
      </c>
      <c r="N167" s="112">
        <f>$K$5</f>
        <v>0.2111176002216073</v>
      </c>
      <c r="O167" s="100">
        <f>ROUND(H167*(1+$N167),2)</f>
        <v>96.53</v>
      </c>
      <c r="P167" s="112">
        <f>$J$5</f>
        <v>0.26838623884514634</v>
      </c>
      <c r="Q167" s="100">
        <f>ROUND(I167*(1+$P167),2)</f>
        <v>117.52</v>
      </c>
      <c r="R167" s="28">
        <f>ROUND(O167*$F167,2)</f>
        <v>1447.95</v>
      </c>
      <c r="S167" s="28">
        <f>ROUND(Q167*$F167,2)</f>
        <v>1762.8</v>
      </c>
      <c r="T167" s="28">
        <f>S167+R167</f>
        <v>3210.75</v>
      </c>
      <c r="U167" s="6"/>
    </row>
    <row r="168" spans="1:21" ht="30" x14ac:dyDescent="0.25">
      <c r="A168" s="303" t="s">
        <v>284</v>
      </c>
      <c r="B168" s="305" t="s">
        <v>294</v>
      </c>
      <c r="C168" s="250" t="s">
        <v>362</v>
      </c>
      <c r="D168" s="27" t="s">
        <v>363</v>
      </c>
      <c r="E168" s="22" t="s">
        <v>116</v>
      </c>
      <c r="F168" s="195">
        <v>0.04</v>
      </c>
      <c r="G168" s="34">
        <v>1992.57</v>
      </c>
      <c r="H168" s="93">
        <f>TRUNC(G168*F168,2)</f>
        <v>79.7</v>
      </c>
      <c r="I168" s="93"/>
      <c r="J168" s="93"/>
      <c r="K168" s="93"/>
      <c r="L168" s="224"/>
      <c r="M168" s="225"/>
      <c r="N168" s="113"/>
      <c r="O168" s="225"/>
      <c r="P168" s="113"/>
      <c r="Q168" s="225"/>
      <c r="R168" s="64"/>
      <c r="S168" s="29"/>
      <c r="T168" s="29"/>
      <c r="U168" s="6"/>
    </row>
    <row r="169" spans="1:21" ht="16.5" customHeight="1" x14ac:dyDescent="0.25">
      <c r="A169" s="303" t="s">
        <v>285</v>
      </c>
      <c r="B169" s="304" t="s">
        <v>18</v>
      </c>
      <c r="C169" s="250">
        <v>88277</v>
      </c>
      <c r="D169" s="21" t="s">
        <v>185</v>
      </c>
      <c r="E169" s="22" t="s">
        <v>118</v>
      </c>
      <c r="F169" s="195">
        <v>1.53</v>
      </c>
      <c r="G169" s="34">
        <v>30.21</v>
      </c>
      <c r="H169" s="34"/>
      <c r="I169" s="34">
        <f>TRUNC(G169*F169,2)</f>
        <v>46.22</v>
      </c>
      <c r="J169" s="34"/>
      <c r="K169" s="34"/>
      <c r="L169" s="224"/>
      <c r="M169" s="225"/>
      <c r="N169" s="113"/>
      <c r="O169" s="225"/>
      <c r="P169" s="113"/>
      <c r="Q169" s="225"/>
      <c r="R169" s="64"/>
      <c r="S169" s="29"/>
      <c r="T169" s="29"/>
      <c r="U169" s="6"/>
    </row>
    <row r="170" spans="1:21" ht="16.5" customHeight="1" x14ac:dyDescent="0.25">
      <c r="A170" s="303" t="s">
        <v>285</v>
      </c>
      <c r="B170" s="304" t="s">
        <v>18</v>
      </c>
      <c r="C170" s="250">
        <v>88279</v>
      </c>
      <c r="D170" s="21" t="s">
        <v>186</v>
      </c>
      <c r="E170" s="22" t="s">
        <v>118</v>
      </c>
      <c r="F170" s="195">
        <v>1.53</v>
      </c>
      <c r="G170" s="34">
        <v>30.35</v>
      </c>
      <c r="H170" s="34"/>
      <c r="I170" s="34">
        <f>TRUNC(G170*F170,2)</f>
        <v>46.43</v>
      </c>
      <c r="J170" s="34"/>
      <c r="K170" s="34"/>
      <c r="L170" s="224"/>
      <c r="M170" s="225"/>
      <c r="N170" s="113"/>
      <c r="O170" s="225"/>
      <c r="P170" s="113"/>
      <c r="Q170" s="225"/>
      <c r="R170" s="64"/>
      <c r="S170" s="29"/>
      <c r="T170" s="29"/>
      <c r="U170" s="6"/>
    </row>
    <row r="171" spans="1:21" ht="16.5" customHeight="1" x14ac:dyDescent="0.25">
      <c r="A171" s="299" t="s">
        <v>74</v>
      </c>
      <c r="B171" s="300" t="s">
        <v>37</v>
      </c>
      <c r="C171" s="183"/>
      <c r="D171" s="19" t="s">
        <v>367</v>
      </c>
      <c r="E171" s="24" t="s">
        <v>126</v>
      </c>
      <c r="F171" s="197">
        <f>'Planilha Analítica'!F48</f>
        <v>1</v>
      </c>
      <c r="G171" s="89"/>
      <c r="H171" s="92">
        <f>SUM(H172:H174)</f>
        <v>107.59</v>
      </c>
      <c r="I171" s="92">
        <f>SUM(I172:I174)</f>
        <v>92.65</v>
      </c>
      <c r="J171" s="92">
        <f>I171+H171</f>
        <v>200.24</v>
      </c>
      <c r="K171" s="92">
        <f>ROUND(H171*$F171,2)</f>
        <v>107.59</v>
      </c>
      <c r="L171" s="92">
        <f>ROUND(I171*$F171,2)</f>
        <v>92.65</v>
      </c>
      <c r="M171" s="100">
        <f>L171+K171</f>
        <v>200.24</v>
      </c>
      <c r="N171" s="112">
        <f>$K$5</f>
        <v>0.2111176002216073</v>
      </c>
      <c r="O171" s="100">
        <f>ROUND(H171*(1+$N171),2)</f>
        <v>130.30000000000001</v>
      </c>
      <c r="P171" s="112">
        <f>$J$5</f>
        <v>0.26838623884514634</v>
      </c>
      <c r="Q171" s="100">
        <f>ROUND(I171*(1+$P171),2)</f>
        <v>117.52</v>
      </c>
      <c r="R171" s="28">
        <f>ROUND(O171*$F171,2)</f>
        <v>130.30000000000001</v>
      </c>
      <c r="S171" s="28">
        <f>ROUND(Q171*$F171,2)</f>
        <v>117.52</v>
      </c>
      <c r="T171" s="28">
        <f>S171+R171</f>
        <v>247.82</v>
      </c>
      <c r="U171" s="6"/>
    </row>
    <row r="172" spans="1:21" ht="16.5" customHeight="1" x14ac:dyDescent="0.25">
      <c r="A172" s="303" t="s">
        <v>284</v>
      </c>
      <c r="B172" s="305" t="s">
        <v>294</v>
      </c>
      <c r="C172" s="250" t="s">
        <v>365</v>
      </c>
      <c r="D172" s="27" t="s">
        <v>366</v>
      </c>
      <c r="E172" s="22" t="s">
        <v>116</v>
      </c>
      <c r="F172" s="195">
        <v>0.05</v>
      </c>
      <c r="G172" s="34">
        <v>2151.92</v>
      </c>
      <c r="H172" s="93">
        <f>TRUNC(G172*F172,2)</f>
        <v>107.59</v>
      </c>
      <c r="I172" s="93"/>
      <c r="J172" s="93"/>
      <c r="K172" s="93"/>
      <c r="L172" s="224"/>
      <c r="M172" s="225"/>
      <c r="N172" s="113"/>
      <c r="O172" s="225"/>
      <c r="P172" s="113"/>
      <c r="Q172" s="225"/>
      <c r="R172" s="64"/>
      <c r="S172" s="29"/>
      <c r="T172" s="29"/>
      <c r="U172" s="6"/>
    </row>
    <row r="173" spans="1:21" ht="16.5" customHeight="1" x14ac:dyDescent="0.25">
      <c r="A173" s="303" t="s">
        <v>285</v>
      </c>
      <c r="B173" s="304" t="s">
        <v>18</v>
      </c>
      <c r="C173" s="250">
        <v>88277</v>
      </c>
      <c r="D173" s="21" t="s">
        <v>185</v>
      </c>
      <c r="E173" s="22" t="s">
        <v>118</v>
      </c>
      <c r="F173" s="195">
        <v>1.53</v>
      </c>
      <c r="G173" s="34">
        <v>30.21</v>
      </c>
      <c r="H173" s="34"/>
      <c r="I173" s="34">
        <f>TRUNC(G173*F173,2)</f>
        <v>46.22</v>
      </c>
      <c r="J173" s="34"/>
      <c r="K173" s="34"/>
      <c r="L173" s="224"/>
      <c r="M173" s="225"/>
      <c r="N173" s="113"/>
      <c r="O173" s="225"/>
      <c r="P173" s="113"/>
      <c r="Q173" s="225"/>
      <c r="R173" s="64"/>
      <c r="S173" s="29"/>
      <c r="T173" s="29"/>
      <c r="U173" s="6"/>
    </row>
    <row r="174" spans="1:21" ht="16.5" customHeight="1" x14ac:dyDescent="0.25">
      <c r="A174" s="303" t="s">
        <v>285</v>
      </c>
      <c r="B174" s="304" t="s">
        <v>18</v>
      </c>
      <c r="C174" s="250">
        <v>88279</v>
      </c>
      <c r="D174" s="21" t="s">
        <v>186</v>
      </c>
      <c r="E174" s="22" t="s">
        <v>118</v>
      </c>
      <c r="F174" s="195">
        <v>1.53</v>
      </c>
      <c r="G174" s="34">
        <v>30.35</v>
      </c>
      <c r="H174" s="34"/>
      <c r="I174" s="34">
        <f>TRUNC(G174*F174,2)</f>
        <v>46.43</v>
      </c>
      <c r="J174" s="34"/>
      <c r="K174" s="34"/>
      <c r="L174" s="224"/>
      <c r="M174" s="225"/>
      <c r="N174" s="113"/>
      <c r="O174" s="225"/>
      <c r="P174" s="113"/>
      <c r="Q174" s="225"/>
      <c r="R174" s="64"/>
      <c r="S174" s="29"/>
      <c r="T174" s="29"/>
      <c r="U174" s="6"/>
    </row>
    <row r="175" spans="1:21" ht="16.5" customHeight="1" x14ac:dyDescent="0.25">
      <c r="A175" s="299" t="s">
        <v>399</v>
      </c>
      <c r="B175" s="300" t="s">
        <v>37</v>
      </c>
      <c r="C175" s="183"/>
      <c r="D175" s="19" t="s">
        <v>368</v>
      </c>
      <c r="E175" s="24" t="s">
        <v>126</v>
      </c>
      <c r="F175" s="197">
        <f>'Planilha Analítica'!F49</f>
        <v>1</v>
      </c>
      <c r="G175" s="89"/>
      <c r="H175" s="92">
        <f>SUM(H176:H178)</f>
        <v>87.71</v>
      </c>
      <c r="I175" s="92">
        <f>SUM(I176:I178)</f>
        <v>92.65</v>
      </c>
      <c r="J175" s="92">
        <f>I175+H175</f>
        <v>180.36</v>
      </c>
      <c r="K175" s="92">
        <f>ROUND(H175*$F175,2)</f>
        <v>87.71</v>
      </c>
      <c r="L175" s="92">
        <f>ROUND(I175*$F175,2)</f>
        <v>92.65</v>
      </c>
      <c r="M175" s="100">
        <f>L175+K175</f>
        <v>180.36</v>
      </c>
      <c r="N175" s="112">
        <f>$K$5</f>
        <v>0.2111176002216073</v>
      </c>
      <c r="O175" s="100">
        <f>ROUND(H175*(1+$N175),2)</f>
        <v>106.23</v>
      </c>
      <c r="P175" s="112">
        <f>$J$5</f>
        <v>0.26838623884514634</v>
      </c>
      <c r="Q175" s="100">
        <f>ROUND(I175*(1+$P175),2)</f>
        <v>117.52</v>
      </c>
      <c r="R175" s="28">
        <f>ROUND(O175*$F175,2)</f>
        <v>106.23</v>
      </c>
      <c r="S175" s="28">
        <f>ROUND(Q175*$F175,2)</f>
        <v>117.52</v>
      </c>
      <c r="T175" s="28">
        <f>S175+R175</f>
        <v>223.75</v>
      </c>
      <c r="U175" s="6"/>
    </row>
    <row r="176" spans="1:21" ht="16.5" customHeight="1" x14ac:dyDescent="0.25">
      <c r="A176" s="303" t="s">
        <v>284</v>
      </c>
      <c r="B176" s="305" t="s">
        <v>294</v>
      </c>
      <c r="C176" s="250" t="s">
        <v>302</v>
      </c>
      <c r="D176" s="27" t="s">
        <v>303</v>
      </c>
      <c r="E176" s="22" t="s">
        <v>116</v>
      </c>
      <c r="F176" s="195">
        <v>0.08</v>
      </c>
      <c r="G176" s="34">
        <v>1096.4000000000001</v>
      </c>
      <c r="H176" s="93">
        <f>TRUNC(G176*F176,2)</f>
        <v>87.71</v>
      </c>
      <c r="I176" s="93"/>
      <c r="J176" s="93"/>
      <c r="K176" s="93"/>
      <c r="L176" s="224"/>
      <c r="M176" s="225"/>
      <c r="N176" s="113"/>
      <c r="O176" s="225"/>
      <c r="P176" s="113"/>
      <c r="Q176" s="225"/>
      <c r="R176" s="64"/>
      <c r="S176" s="29"/>
      <c r="T176" s="29"/>
      <c r="U176" s="6"/>
    </row>
    <row r="177" spans="1:21" ht="16.5" customHeight="1" x14ac:dyDescent="0.25">
      <c r="A177" s="303" t="s">
        <v>285</v>
      </c>
      <c r="B177" s="304" t="s">
        <v>18</v>
      </c>
      <c r="C177" s="250">
        <v>88277</v>
      </c>
      <c r="D177" s="21" t="s">
        <v>185</v>
      </c>
      <c r="E177" s="22" t="s">
        <v>118</v>
      </c>
      <c r="F177" s="195">
        <v>1.53</v>
      </c>
      <c r="G177" s="34">
        <v>30.21</v>
      </c>
      <c r="H177" s="34"/>
      <c r="I177" s="34">
        <f>TRUNC(G177*F177,2)</f>
        <v>46.22</v>
      </c>
      <c r="J177" s="34"/>
      <c r="K177" s="34"/>
      <c r="L177" s="224"/>
      <c r="M177" s="225"/>
      <c r="N177" s="113"/>
      <c r="O177" s="225"/>
      <c r="P177" s="113"/>
      <c r="Q177" s="225"/>
      <c r="R177" s="64"/>
      <c r="S177" s="29"/>
      <c r="T177" s="29"/>
      <c r="U177" s="6"/>
    </row>
    <row r="178" spans="1:21" ht="16.5" customHeight="1" thickBot="1" x14ac:dyDescent="0.3">
      <c r="A178" s="317" t="s">
        <v>285</v>
      </c>
      <c r="B178" s="318" t="s">
        <v>18</v>
      </c>
      <c r="C178" s="230">
        <v>88279</v>
      </c>
      <c r="D178" s="323" t="s">
        <v>186</v>
      </c>
      <c r="E178" s="232" t="s">
        <v>118</v>
      </c>
      <c r="F178" s="275">
        <v>1.53</v>
      </c>
      <c r="G178" s="49">
        <v>30.35</v>
      </c>
      <c r="H178" s="49"/>
      <c r="I178" s="49">
        <f>TRUNC(G178*F178,2)</f>
        <v>46.43</v>
      </c>
      <c r="J178" s="49"/>
      <c r="K178" s="49"/>
      <c r="L178" s="233"/>
      <c r="M178" s="234"/>
      <c r="N178" s="114"/>
      <c r="O178" s="234"/>
      <c r="P178" s="114"/>
      <c r="Q178" s="234"/>
      <c r="R178" s="65"/>
      <c r="S178" s="30"/>
      <c r="T178" s="30"/>
      <c r="U178" s="6"/>
    </row>
    <row r="179" spans="1:21" ht="16.5" customHeight="1" x14ac:dyDescent="0.25">
      <c r="A179" s="307">
        <v>6</v>
      </c>
      <c r="B179" s="308"/>
      <c r="C179" s="259"/>
      <c r="D179" s="32" t="s">
        <v>405</v>
      </c>
      <c r="E179" s="260"/>
      <c r="F179" s="274"/>
      <c r="G179" s="261"/>
      <c r="H179" s="260"/>
      <c r="I179" s="260"/>
      <c r="J179" s="262"/>
      <c r="K179" s="66">
        <f>SUM(K180:K242)</f>
        <v>33453.78</v>
      </c>
      <c r="L179" s="66">
        <f>SUM(L180:L242)</f>
        <v>17697.220000000005</v>
      </c>
      <c r="M179" s="67">
        <f>L179+K179</f>
        <v>51151</v>
      </c>
      <c r="N179" s="263">
        <f>$K$5</f>
        <v>0.2111176002216073</v>
      </c>
      <c r="O179" s="262"/>
      <c r="P179" s="263">
        <f>$J$5</f>
        <v>0.26838623884514634</v>
      </c>
      <c r="Q179" s="262"/>
      <c r="R179" s="66">
        <f>SUM(R180:R242)</f>
        <v>40513.870000000003</v>
      </c>
      <c r="S179" s="66">
        <f>SUM(S180:S242)</f>
        <v>22448.730000000003</v>
      </c>
      <c r="T179" s="73">
        <f>S179+R179</f>
        <v>62962.600000000006</v>
      </c>
      <c r="U179" s="6"/>
    </row>
    <row r="180" spans="1:21" ht="16.5" customHeight="1" x14ac:dyDescent="0.25">
      <c r="A180" s="299" t="s">
        <v>187</v>
      </c>
      <c r="B180" s="300" t="s">
        <v>37</v>
      </c>
      <c r="C180" s="183"/>
      <c r="D180" s="19" t="s">
        <v>369</v>
      </c>
      <c r="E180" s="24" t="s">
        <v>126</v>
      </c>
      <c r="F180" s="197">
        <f>'Planilha Analítica'!F51</f>
        <v>1</v>
      </c>
      <c r="G180" s="89"/>
      <c r="H180" s="92">
        <f>SUM(H181:H184)</f>
        <v>8857.98</v>
      </c>
      <c r="I180" s="92">
        <f>SUM(I181:I184)</f>
        <v>1580.48</v>
      </c>
      <c r="J180" s="92">
        <f>I180+H180</f>
        <v>10438.459999999999</v>
      </c>
      <c r="K180" s="92">
        <f>ROUND(H180*$F180,2)</f>
        <v>8857.98</v>
      </c>
      <c r="L180" s="92">
        <f>ROUND(I180*$F180,2)</f>
        <v>1580.48</v>
      </c>
      <c r="M180" s="100">
        <f>L180+K180</f>
        <v>10438.459999999999</v>
      </c>
      <c r="N180" s="112">
        <f>$K$5</f>
        <v>0.2111176002216073</v>
      </c>
      <c r="O180" s="100">
        <f>ROUND(H180*(1+$N180),2)</f>
        <v>10728.06</v>
      </c>
      <c r="P180" s="112">
        <f>$J$5</f>
        <v>0.26838623884514634</v>
      </c>
      <c r="Q180" s="100">
        <f>ROUND(I180*(1+$P180),2)</f>
        <v>2004.66</v>
      </c>
      <c r="R180" s="28">
        <f>ROUND(O180*$F180,2)</f>
        <v>10728.06</v>
      </c>
      <c r="S180" s="28">
        <f>ROUND(Q180*$F180,2)</f>
        <v>2004.66</v>
      </c>
      <c r="T180" s="28">
        <f>S180+R180</f>
        <v>12732.72</v>
      </c>
      <c r="U180" s="6"/>
    </row>
    <row r="181" spans="1:21" ht="16.5" customHeight="1" x14ac:dyDescent="0.25">
      <c r="A181" s="303" t="s">
        <v>284</v>
      </c>
      <c r="B181" s="304" t="s">
        <v>21</v>
      </c>
      <c r="C181" s="250" t="s">
        <v>373</v>
      </c>
      <c r="D181" s="27" t="s">
        <v>370</v>
      </c>
      <c r="E181" s="22" t="s">
        <v>126</v>
      </c>
      <c r="F181" s="195">
        <v>1</v>
      </c>
      <c r="G181" s="34">
        <v>8850</v>
      </c>
      <c r="H181" s="93">
        <f>TRUNC(G181*F181,2)</f>
        <v>8850</v>
      </c>
      <c r="I181" s="93"/>
      <c r="J181" s="93"/>
      <c r="K181" s="93"/>
      <c r="L181" s="224"/>
      <c r="M181" s="225"/>
      <c r="N181" s="113"/>
      <c r="O181" s="225"/>
      <c r="P181" s="113"/>
      <c r="Q181" s="225"/>
      <c r="R181" s="64"/>
      <c r="S181" s="29"/>
      <c r="T181" s="29"/>
      <c r="U181" s="6"/>
    </row>
    <row r="182" spans="1:21" ht="33" customHeight="1" x14ac:dyDescent="0.25">
      <c r="A182" s="303" t="s">
        <v>285</v>
      </c>
      <c r="B182" s="304" t="s">
        <v>18</v>
      </c>
      <c r="C182" s="250">
        <v>88279</v>
      </c>
      <c r="D182" s="21" t="s">
        <v>193</v>
      </c>
      <c r="E182" s="22" t="s">
        <v>118</v>
      </c>
      <c r="F182" s="195">
        <v>22</v>
      </c>
      <c r="G182" s="34">
        <v>30.35</v>
      </c>
      <c r="H182" s="34"/>
      <c r="I182" s="34">
        <f>TRUNC(G182*F182,2)</f>
        <v>667.7</v>
      </c>
      <c r="J182" s="34"/>
      <c r="K182" s="34"/>
      <c r="L182" s="224"/>
      <c r="M182" s="225"/>
      <c r="N182" s="113"/>
      <c r="O182" s="225"/>
      <c r="P182" s="113"/>
      <c r="Q182" s="225"/>
      <c r="R182" s="64"/>
      <c r="S182" s="29"/>
      <c r="T182" s="29"/>
      <c r="U182" s="6"/>
    </row>
    <row r="183" spans="1:21" ht="16.5" customHeight="1" x14ac:dyDescent="0.25">
      <c r="A183" s="303" t="s">
        <v>285</v>
      </c>
      <c r="B183" s="304" t="s">
        <v>18</v>
      </c>
      <c r="C183" s="250">
        <v>88266</v>
      </c>
      <c r="D183" s="21" t="s">
        <v>188</v>
      </c>
      <c r="E183" s="22" t="s">
        <v>118</v>
      </c>
      <c r="F183" s="195">
        <v>22</v>
      </c>
      <c r="G183" s="34">
        <v>41.49</v>
      </c>
      <c r="H183" s="34"/>
      <c r="I183" s="34">
        <f>TRUNC(G183*F183,2)</f>
        <v>912.78</v>
      </c>
      <c r="J183" s="34"/>
      <c r="K183" s="34"/>
      <c r="L183" s="224"/>
      <c r="M183" s="225"/>
      <c r="N183" s="113"/>
      <c r="O183" s="225"/>
      <c r="P183" s="113"/>
      <c r="Q183" s="225"/>
      <c r="R183" s="64"/>
      <c r="S183" s="29"/>
      <c r="T183" s="29"/>
      <c r="U183" s="6"/>
    </row>
    <row r="184" spans="1:21" ht="16.5" customHeight="1" x14ac:dyDescent="0.25">
      <c r="A184" s="303" t="s">
        <v>284</v>
      </c>
      <c r="B184" s="304" t="s">
        <v>18</v>
      </c>
      <c r="C184" s="250">
        <v>11976</v>
      </c>
      <c r="D184" s="27" t="s">
        <v>29</v>
      </c>
      <c r="E184" s="22" t="s">
        <v>126</v>
      </c>
      <c r="F184" s="195">
        <v>6</v>
      </c>
      <c r="G184" s="34">
        <v>1.33</v>
      </c>
      <c r="H184" s="93">
        <f>TRUNC(G184*F184,2)</f>
        <v>7.98</v>
      </c>
      <c r="I184" s="93"/>
      <c r="J184" s="34"/>
      <c r="K184" s="34"/>
      <c r="L184" s="224"/>
      <c r="M184" s="225"/>
      <c r="N184" s="113"/>
      <c r="O184" s="225"/>
      <c r="P184" s="113"/>
      <c r="Q184" s="225"/>
      <c r="R184" s="64"/>
      <c r="S184" s="29"/>
      <c r="T184" s="29"/>
      <c r="U184" s="6"/>
    </row>
    <row r="185" spans="1:21" ht="16.5" customHeight="1" x14ac:dyDescent="0.25">
      <c r="A185" s="299" t="s">
        <v>189</v>
      </c>
      <c r="B185" s="300" t="s">
        <v>37</v>
      </c>
      <c r="C185" s="183"/>
      <c r="D185" s="19" t="s">
        <v>381</v>
      </c>
      <c r="E185" s="24" t="s">
        <v>126</v>
      </c>
      <c r="F185" s="197">
        <f>'Planilha Analítica'!F52</f>
        <v>1</v>
      </c>
      <c r="G185" s="89"/>
      <c r="H185" s="92">
        <f>SUM(H186:H188)</f>
        <v>458.96</v>
      </c>
      <c r="I185" s="92">
        <f>SUM(I186:I188)</f>
        <v>85.39</v>
      </c>
      <c r="J185" s="92">
        <f>I185+H185</f>
        <v>544.35</v>
      </c>
      <c r="K185" s="92">
        <f>ROUND(H185*$F185,2)</f>
        <v>458.96</v>
      </c>
      <c r="L185" s="92">
        <f>ROUND(I185*$F185,2)</f>
        <v>85.39</v>
      </c>
      <c r="M185" s="100">
        <f>L185+K185</f>
        <v>544.35</v>
      </c>
      <c r="N185" s="112">
        <f>$K$5</f>
        <v>0.2111176002216073</v>
      </c>
      <c r="O185" s="100">
        <f>ROUND(H185*(1+$N185),2)</f>
        <v>555.85</v>
      </c>
      <c r="P185" s="112">
        <f>$J$5</f>
        <v>0.26838623884514634</v>
      </c>
      <c r="Q185" s="100">
        <f>ROUND(I185*(1+$P185),2)</f>
        <v>108.31</v>
      </c>
      <c r="R185" s="28">
        <f>ROUND(O185*$F185,2)</f>
        <v>555.85</v>
      </c>
      <c r="S185" s="28">
        <f>ROUND(Q185*$F185,2)</f>
        <v>108.31</v>
      </c>
      <c r="T185" s="28">
        <f>S185+R185</f>
        <v>664.16000000000008</v>
      </c>
      <c r="U185" s="6"/>
    </row>
    <row r="186" spans="1:21" ht="15" customHeight="1" x14ac:dyDescent="0.25">
      <c r="A186" s="303" t="s">
        <v>284</v>
      </c>
      <c r="B186" s="304" t="s">
        <v>294</v>
      </c>
      <c r="C186" s="250" t="s">
        <v>379</v>
      </c>
      <c r="D186" s="21" t="s">
        <v>380</v>
      </c>
      <c r="E186" s="22" t="s">
        <v>126</v>
      </c>
      <c r="F186" s="195">
        <v>1</v>
      </c>
      <c r="G186" s="34">
        <v>458.96</v>
      </c>
      <c r="H186" s="93">
        <f>TRUNC(G186*F186,2)</f>
        <v>458.96</v>
      </c>
      <c r="I186" s="34"/>
      <c r="J186" s="34"/>
      <c r="K186" s="34"/>
      <c r="L186" s="224"/>
      <c r="M186" s="225"/>
      <c r="N186" s="113"/>
      <c r="O186" s="225"/>
      <c r="P186" s="113"/>
      <c r="Q186" s="225"/>
      <c r="R186" s="64"/>
      <c r="S186" s="29"/>
      <c r="T186" s="29"/>
      <c r="U186" s="6"/>
    </row>
    <row r="187" spans="1:21" ht="16.5" customHeight="1" x14ac:dyDescent="0.25">
      <c r="A187" s="303" t="s">
        <v>285</v>
      </c>
      <c r="B187" s="304" t="s">
        <v>18</v>
      </c>
      <c r="C187" s="268">
        <v>88247</v>
      </c>
      <c r="D187" s="21" t="s">
        <v>199</v>
      </c>
      <c r="E187" s="22" t="s">
        <v>118</v>
      </c>
      <c r="F187" s="195">
        <v>1.3231999999999999</v>
      </c>
      <c r="G187" s="34">
        <v>27.82</v>
      </c>
      <c r="H187" s="34"/>
      <c r="I187" s="34">
        <f>TRUNC(G187*F187,2)</f>
        <v>36.81</v>
      </c>
      <c r="J187" s="34"/>
      <c r="K187" s="34"/>
      <c r="L187" s="224"/>
      <c r="M187" s="225"/>
      <c r="N187" s="113"/>
      <c r="O187" s="225"/>
      <c r="P187" s="113"/>
      <c r="Q187" s="225"/>
      <c r="R187" s="64"/>
      <c r="S187" s="29"/>
      <c r="T187" s="29"/>
      <c r="U187" s="6"/>
    </row>
    <row r="188" spans="1:21" ht="16.5" customHeight="1" x14ac:dyDescent="0.25">
      <c r="A188" s="303" t="s">
        <v>285</v>
      </c>
      <c r="B188" s="304" t="s">
        <v>18</v>
      </c>
      <c r="C188" s="268">
        <v>88264</v>
      </c>
      <c r="D188" s="27" t="s">
        <v>200</v>
      </c>
      <c r="E188" s="22" t="s">
        <v>118</v>
      </c>
      <c r="F188" s="195">
        <v>1.3231999999999999</v>
      </c>
      <c r="G188" s="34">
        <v>36.72</v>
      </c>
      <c r="H188" s="93"/>
      <c r="I188" s="34">
        <f>TRUNC(G188*F188,2)</f>
        <v>48.58</v>
      </c>
      <c r="J188" s="34"/>
      <c r="K188" s="34"/>
      <c r="L188" s="224"/>
      <c r="M188" s="225"/>
      <c r="N188" s="113"/>
      <c r="O188" s="225"/>
      <c r="P188" s="113"/>
      <c r="Q188" s="225"/>
      <c r="R188" s="64"/>
      <c r="S188" s="29"/>
      <c r="T188" s="29"/>
      <c r="U188" s="6"/>
    </row>
    <row r="189" spans="1:21" ht="16.5" customHeight="1" x14ac:dyDescent="0.25">
      <c r="A189" s="299" t="s">
        <v>190</v>
      </c>
      <c r="B189" s="300" t="s">
        <v>37</v>
      </c>
      <c r="C189" s="183"/>
      <c r="D189" s="25" t="s">
        <v>378</v>
      </c>
      <c r="E189" s="24" t="s">
        <v>117</v>
      </c>
      <c r="F189" s="197">
        <f>'Planilha Analítica'!F53</f>
        <v>47</v>
      </c>
      <c r="G189" s="89"/>
      <c r="H189" s="92">
        <f>SUM(H190:H193)</f>
        <v>78.62</v>
      </c>
      <c r="I189" s="92">
        <f>SUM(I190:I193)</f>
        <v>48.4</v>
      </c>
      <c r="J189" s="92">
        <f>I189+H189</f>
        <v>127.02000000000001</v>
      </c>
      <c r="K189" s="92">
        <f>ROUND(H189*$F189,2)</f>
        <v>3695.14</v>
      </c>
      <c r="L189" s="92">
        <f>ROUND(I189*$F189,2)</f>
        <v>2274.8000000000002</v>
      </c>
      <c r="M189" s="100">
        <f>L189+K189</f>
        <v>5969.9400000000005</v>
      </c>
      <c r="N189" s="112">
        <f>$K$5</f>
        <v>0.2111176002216073</v>
      </c>
      <c r="O189" s="100">
        <f>ROUND(H189*(1+$N189),2)</f>
        <v>95.22</v>
      </c>
      <c r="P189" s="112">
        <f>$J$5</f>
        <v>0.26838623884514634</v>
      </c>
      <c r="Q189" s="100">
        <f>ROUND(I189*(1+$P189),2)</f>
        <v>61.39</v>
      </c>
      <c r="R189" s="28">
        <f>ROUND(O189*$F189,2)</f>
        <v>4475.34</v>
      </c>
      <c r="S189" s="28">
        <f>ROUND(Q189*$F189,2)</f>
        <v>2885.33</v>
      </c>
      <c r="T189" s="28">
        <f>S189+R189</f>
        <v>7360.67</v>
      </c>
      <c r="U189" s="6"/>
    </row>
    <row r="190" spans="1:21" ht="16.5" customHeight="1" x14ac:dyDescent="0.25">
      <c r="A190" s="303" t="s">
        <v>284</v>
      </c>
      <c r="B190" s="304" t="s">
        <v>294</v>
      </c>
      <c r="C190" s="250" t="s">
        <v>376</v>
      </c>
      <c r="D190" s="27" t="s">
        <v>377</v>
      </c>
      <c r="E190" s="26" t="s">
        <v>117</v>
      </c>
      <c r="F190" s="195">
        <v>1.05</v>
      </c>
      <c r="G190" s="34">
        <v>63.15</v>
      </c>
      <c r="H190" s="93">
        <f>TRUNC(G190*F190,2)</f>
        <v>66.3</v>
      </c>
      <c r="I190" s="93"/>
      <c r="J190" s="93"/>
      <c r="K190" s="93"/>
      <c r="L190" s="224"/>
      <c r="M190" s="225"/>
      <c r="N190" s="113"/>
      <c r="O190" s="225"/>
      <c r="P190" s="113"/>
      <c r="Q190" s="225"/>
      <c r="R190" s="64"/>
      <c r="S190" s="29"/>
      <c r="T190" s="29"/>
      <c r="U190" s="6"/>
    </row>
    <row r="191" spans="1:21" ht="16.5" customHeight="1" x14ac:dyDescent="0.25">
      <c r="A191" s="303" t="s">
        <v>284</v>
      </c>
      <c r="B191" s="304" t="s">
        <v>18</v>
      </c>
      <c r="C191" s="250">
        <v>2596</v>
      </c>
      <c r="D191" s="27" t="s">
        <v>270</v>
      </c>
      <c r="E191" s="26" t="s">
        <v>126</v>
      </c>
      <c r="F191" s="195">
        <v>0.2</v>
      </c>
      <c r="G191" s="34">
        <v>61.6</v>
      </c>
      <c r="H191" s="93">
        <f>TRUNC(G191*F191,2)</f>
        <v>12.32</v>
      </c>
      <c r="I191" s="93"/>
      <c r="J191" s="93"/>
      <c r="K191" s="93"/>
      <c r="L191" s="224"/>
      <c r="M191" s="225"/>
      <c r="N191" s="113"/>
      <c r="O191" s="225"/>
      <c r="P191" s="113"/>
      <c r="Q191" s="225"/>
      <c r="R191" s="64"/>
      <c r="S191" s="29"/>
      <c r="T191" s="29"/>
      <c r="U191" s="6"/>
    </row>
    <row r="192" spans="1:21" ht="16.5" customHeight="1" x14ac:dyDescent="0.25">
      <c r="A192" s="303" t="s">
        <v>285</v>
      </c>
      <c r="B192" s="304" t="s">
        <v>18</v>
      </c>
      <c r="C192" s="250">
        <v>88247</v>
      </c>
      <c r="D192" s="21" t="s">
        <v>199</v>
      </c>
      <c r="E192" s="22" t="s">
        <v>118</v>
      </c>
      <c r="F192" s="195">
        <v>0.75</v>
      </c>
      <c r="G192" s="34">
        <v>27.82</v>
      </c>
      <c r="H192" s="34"/>
      <c r="I192" s="34">
        <f>TRUNC(G192*F192,2)</f>
        <v>20.86</v>
      </c>
      <c r="J192" s="34"/>
      <c r="K192" s="34"/>
      <c r="L192" s="224"/>
      <c r="M192" s="225"/>
      <c r="N192" s="113"/>
      <c r="O192" s="225"/>
      <c r="P192" s="113"/>
      <c r="Q192" s="225"/>
      <c r="R192" s="64"/>
      <c r="S192" s="29"/>
      <c r="T192" s="29"/>
      <c r="U192" s="6"/>
    </row>
    <row r="193" spans="1:21" ht="16.5" customHeight="1" x14ac:dyDescent="0.25">
      <c r="A193" s="303" t="s">
        <v>285</v>
      </c>
      <c r="B193" s="304" t="s">
        <v>18</v>
      </c>
      <c r="C193" s="250">
        <v>88264</v>
      </c>
      <c r="D193" s="21" t="s">
        <v>200</v>
      </c>
      <c r="E193" s="22" t="s">
        <v>118</v>
      </c>
      <c r="F193" s="195">
        <v>0.75</v>
      </c>
      <c r="G193" s="34">
        <v>36.72</v>
      </c>
      <c r="H193" s="34"/>
      <c r="I193" s="34">
        <f>TRUNC(G193*F193,2)</f>
        <v>27.54</v>
      </c>
      <c r="J193" s="34"/>
      <c r="K193" s="34"/>
      <c r="L193" s="224"/>
      <c r="M193" s="225"/>
      <c r="N193" s="113"/>
      <c r="O193" s="225"/>
      <c r="P193" s="113"/>
      <c r="Q193" s="225"/>
      <c r="R193" s="64"/>
      <c r="S193" s="29"/>
      <c r="T193" s="29"/>
      <c r="U193" s="6"/>
    </row>
    <row r="194" spans="1:21" ht="16.5" customHeight="1" x14ac:dyDescent="0.25">
      <c r="A194" s="299" t="s">
        <v>191</v>
      </c>
      <c r="B194" s="300" t="s">
        <v>37</v>
      </c>
      <c r="C194" s="183"/>
      <c r="D194" s="25" t="s">
        <v>269</v>
      </c>
      <c r="E194" s="24" t="s">
        <v>117</v>
      </c>
      <c r="F194" s="197">
        <f>'Planilha Analítica'!F54</f>
        <v>60</v>
      </c>
      <c r="G194" s="89"/>
      <c r="H194" s="92">
        <f>SUM(H195:H198)</f>
        <v>44.510000000000005</v>
      </c>
      <c r="I194" s="92">
        <f>SUM(I195:I198)</f>
        <v>32.269999999999996</v>
      </c>
      <c r="J194" s="92">
        <f>I194+H194</f>
        <v>76.78</v>
      </c>
      <c r="K194" s="92">
        <f>ROUND(H194*$F194,2)</f>
        <v>2670.6</v>
      </c>
      <c r="L194" s="92">
        <f>ROUND(I194*$F194,2)</f>
        <v>1936.2</v>
      </c>
      <c r="M194" s="100">
        <f>L194+K194</f>
        <v>4606.8</v>
      </c>
      <c r="N194" s="112">
        <f>$K$5</f>
        <v>0.2111176002216073</v>
      </c>
      <c r="O194" s="100">
        <f>ROUND(H194*(1+$N194),2)</f>
        <v>53.91</v>
      </c>
      <c r="P194" s="112">
        <f>$J$5</f>
        <v>0.26838623884514634</v>
      </c>
      <c r="Q194" s="100">
        <f>ROUND(I194*(1+$P194),2)</f>
        <v>40.93</v>
      </c>
      <c r="R194" s="28">
        <f>ROUND(O194*$F194,2)</f>
        <v>3234.6</v>
      </c>
      <c r="S194" s="28">
        <f>ROUND(Q194*$F194,2)</f>
        <v>2455.8000000000002</v>
      </c>
      <c r="T194" s="28">
        <f>S194+R194</f>
        <v>5690.4</v>
      </c>
      <c r="U194" s="6"/>
    </row>
    <row r="195" spans="1:21" ht="16.5" customHeight="1" x14ac:dyDescent="0.25">
      <c r="A195" s="303" t="s">
        <v>284</v>
      </c>
      <c r="B195" s="304" t="s">
        <v>294</v>
      </c>
      <c r="C195" s="250" t="s">
        <v>314</v>
      </c>
      <c r="D195" s="27" t="s">
        <v>315</v>
      </c>
      <c r="E195" s="26" t="s">
        <v>117</v>
      </c>
      <c r="F195" s="195">
        <v>1.05</v>
      </c>
      <c r="G195" s="34">
        <v>38.43</v>
      </c>
      <c r="H195" s="93">
        <f>TRUNC(G195*F195,2)</f>
        <v>40.35</v>
      </c>
      <c r="I195" s="93"/>
      <c r="J195" s="93"/>
      <c r="K195" s="93"/>
      <c r="L195" s="224"/>
      <c r="M195" s="225"/>
      <c r="N195" s="113"/>
      <c r="O195" s="225"/>
      <c r="P195" s="113"/>
      <c r="Q195" s="225"/>
      <c r="R195" s="64"/>
      <c r="S195" s="29"/>
      <c r="T195" s="29"/>
      <c r="U195" s="6"/>
    </row>
    <row r="196" spans="1:21" ht="16.5" customHeight="1" x14ac:dyDescent="0.25">
      <c r="A196" s="303" t="s">
        <v>284</v>
      </c>
      <c r="B196" s="304" t="s">
        <v>18</v>
      </c>
      <c r="C196" s="250">
        <v>2581</v>
      </c>
      <c r="D196" s="27" t="s">
        <v>271</v>
      </c>
      <c r="E196" s="26" t="s">
        <v>126</v>
      </c>
      <c r="F196" s="195">
        <v>0.2</v>
      </c>
      <c r="G196" s="34">
        <v>20.83</v>
      </c>
      <c r="H196" s="93">
        <f>TRUNC(G196*F196,2)</f>
        <v>4.16</v>
      </c>
      <c r="I196" s="93"/>
      <c r="J196" s="93"/>
      <c r="K196" s="93"/>
      <c r="L196" s="224"/>
      <c r="M196" s="225"/>
      <c r="N196" s="113"/>
      <c r="O196" s="225"/>
      <c r="P196" s="113"/>
      <c r="Q196" s="225"/>
      <c r="R196" s="64"/>
      <c r="S196" s="29"/>
      <c r="T196" s="29"/>
      <c r="U196" s="6"/>
    </row>
    <row r="197" spans="1:21" ht="16.5" customHeight="1" x14ac:dyDescent="0.25">
      <c r="A197" s="303" t="s">
        <v>285</v>
      </c>
      <c r="B197" s="304" t="s">
        <v>18</v>
      </c>
      <c r="C197" s="250">
        <v>88247</v>
      </c>
      <c r="D197" s="21" t="s">
        <v>199</v>
      </c>
      <c r="E197" s="22" t="s">
        <v>118</v>
      </c>
      <c r="F197" s="195">
        <v>0.5</v>
      </c>
      <c r="G197" s="34">
        <v>27.82</v>
      </c>
      <c r="H197" s="34"/>
      <c r="I197" s="34">
        <f>TRUNC(G197*F197,2)</f>
        <v>13.91</v>
      </c>
      <c r="J197" s="34"/>
      <c r="K197" s="34"/>
      <c r="L197" s="224"/>
      <c r="M197" s="225"/>
      <c r="N197" s="113"/>
      <c r="O197" s="225"/>
      <c r="P197" s="113"/>
      <c r="Q197" s="225"/>
      <c r="R197" s="64"/>
      <c r="S197" s="29"/>
      <c r="T197" s="29"/>
      <c r="U197" s="6"/>
    </row>
    <row r="198" spans="1:21" ht="16.5" customHeight="1" x14ac:dyDescent="0.25">
      <c r="A198" s="303" t="s">
        <v>285</v>
      </c>
      <c r="B198" s="304" t="s">
        <v>18</v>
      </c>
      <c r="C198" s="250">
        <v>88264</v>
      </c>
      <c r="D198" s="21" t="s">
        <v>200</v>
      </c>
      <c r="E198" s="22" t="s">
        <v>118</v>
      </c>
      <c r="F198" s="195">
        <v>0.5</v>
      </c>
      <c r="G198" s="34">
        <v>36.72</v>
      </c>
      <c r="H198" s="34"/>
      <c r="I198" s="34">
        <f>TRUNC(G198*F198,2)</f>
        <v>18.36</v>
      </c>
      <c r="J198" s="34"/>
      <c r="K198" s="34"/>
      <c r="L198" s="224"/>
      <c r="M198" s="225"/>
      <c r="N198" s="113"/>
      <c r="O198" s="225"/>
      <c r="P198" s="113"/>
      <c r="Q198" s="225"/>
      <c r="R198" s="64"/>
      <c r="S198" s="29"/>
      <c r="T198" s="29"/>
      <c r="U198" s="6"/>
    </row>
    <row r="199" spans="1:21" ht="16.5" customHeight="1" x14ac:dyDescent="0.25">
      <c r="A199" s="299" t="s">
        <v>192</v>
      </c>
      <c r="B199" s="300" t="s">
        <v>37</v>
      </c>
      <c r="C199" s="183"/>
      <c r="D199" s="25" t="s">
        <v>268</v>
      </c>
      <c r="E199" s="24" t="s">
        <v>117</v>
      </c>
      <c r="F199" s="197">
        <f>'Planilha Analítica'!F55</f>
        <v>210</v>
      </c>
      <c r="G199" s="89"/>
      <c r="H199" s="92">
        <f>SUM(H200:H203)</f>
        <v>34.17</v>
      </c>
      <c r="I199" s="92">
        <f>SUM(I200:I203)</f>
        <v>32.269999999999996</v>
      </c>
      <c r="J199" s="92">
        <f>I199+H199</f>
        <v>66.44</v>
      </c>
      <c r="K199" s="92">
        <f>ROUND(H199*$F199,2)</f>
        <v>7175.7</v>
      </c>
      <c r="L199" s="92">
        <f>ROUND(I199*$F199,2)</f>
        <v>6776.7</v>
      </c>
      <c r="M199" s="100">
        <f>L199+K199</f>
        <v>13952.4</v>
      </c>
      <c r="N199" s="112">
        <f>$K$5</f>
        <v>0.2111176002216073</v>
      </c>
      <c r="O199" s="100">
        <f>ROUND(H199*(1+$N199),2)</f>
        <v>41.38</v>
      </c>
      <c r="P199" s="112">
        <f>$J$5</f>
        <v>0.26838623884514634</v>
      </c>
      <c r="Q199" s="100">
        <f>ROUND(I199*(1+$P199),2)</f>
        <v>40.93</v>
      </c>
      <c r="R199" s="28">
        <f>ROUND(O199*$F199,2)</f>
        <v>8689.7999999999993</v>
      </c>
      <c r="S199" s="28">
        <f>ROUND(Q199*$F199,2)</f>
        <v>8595.2999999999993</v>
      </c>
      <c r="T199" s="28">
        <f>S199+R199</f>
        <v>17285.099999999999</v>
      </c>
      <c r="U199" s="6"/>
    </row>
    <row r="200" spans="1:21" ht="16.5" customHeight="1" x14ac:dyDescent="0.25">
      <c r="A200" s="303" t="s">
        <v>284</v>
      </c>
      <c r="B200" s="304" t="s">
        <v>294</v>
      </c>
      <c r="C200" s="250" t="s">
        <v>316</v>
      </c>
      <c r="D200" s="27" t="s">
        <v>317</v>
      </c>
      <c r="E200" s="26" t="s">
        <v>117</v>
      </c>
      <c r="F200" s="195">
        <v>1.05</v>
      </c>
      <c r="G200" s="34">
        <v>29.16</v>
      </c>
      <c r="H200" s="93">
        <f>TRUNC(G200*F200,2)</f>
        <v>30.61</v>
      </c>
      <c r="I200" s="93"/>
      <c r="J200" s="93"/>
      <c r="K200" s="93"/>
      <c r="L200" s="224"/>
      <c r="M200" s="225"/>
      <c r="N200" s="113"/>
      <c r="O200" s="225"/>
      <c r="P200" s="113"/>
      <c r="Q200" s="225"/>
      <c r="R200" s="64"/>
      <c r="S200" s="29"/>
      <c r="T200" s="29"/>
      <c r="U200" s="6"/>
    </row>
    <row r="201" spans="1:21" ht="16.5" customHeight="1" x14ac:dyDescent="0.25">
      <c r="A201" s="303" t="s">
        <v>284</v>
      </c>
      <c r="B201" s="304" t="s">
        <v>18</v>
      </c>
      <c r="C201" s="250">
        <v>2580</v>
      </c>
      <c r="D201" s="27" t="s">
        <v>204</v>
      </c>
      <c r="E201" s="26" t="s">
        <v>126</v>
      </c>
      <c r="F201" s="195">
        <v>0.2</v>
      </c>
      <c r="G201" s="34">
        <v>17.84</v>
      </c>
      <c r="H201" s="93">
        <f>TRUNC(G201*F201,2)</f>
        <v>3.56</v>
      </c>
      <c r="I201" s="93"/>
      <c r="J201" s="93"/>
      <c r="K201" s="93"/>
      <c r="L201" s="224"/>
      <c r="M201" s="225"/>
      <c r="N201" s="113"/>
      <c r="O201" s="225"/>
      <c r="P201" s="113"/>
      <c r="Q201" s="225"/>
      <c r="R201" s="64"/>
      <c r="S201" s="29"/>
      <c r="T201" s="29"/>
      <c r="U201" s="6"/>
    </row>
    <row r="202" spans="1:21" ht="16.5" customHeight="1" x14ac:dyDescent="0.25">
      <c r="A202" s="303" t="s">
        <v>285</v>
      </c>
      <c r="B202" s="304" t="s">
        <v>18</v>
      </c>
      <c r="C202" s="250">
        <v>88247</v>
      </c>
      <c r="D202" s="21" t="s">
        <v>199</v>
      </c>
      <c r="E202" s="22" t="s">
        <v>118</v>
      </c>
      <c r="F202" s="195">
        <v>0.5</v>
      </c>
      <c r="G202" s="34">
        <v>27.82</v>
      </c>
      <c r="H202" s="34"/>
      <c r="I202" s="34">
        <f>TRUNC(G202*F202,2)</f>
        <v>13.91</v>
      </c>
      <c r="J202" s="34"/>
      <c r="K202" s="34"/>
      <c r="L202" s="224"/>
      <c r="M202" s="225"/>
      <c r="N202" s="113"/>
      <c r="O202" s="225"/>
      <c r="P202" s="113"/>
      <c r="Q202" s="225"/>
      <c r="R202" s="64"/>
      <c r="S202" s="29"/>
      <c r="T202" s="29"/>
      <c r="U202" s="6"/>
    </row>
    <row r="203" spans="1:21" ht="16.5" customHeight="1" x14ac:dyDescent="0.25">
      <c r="A203" s="303" t="s">
        <v>285</v>
      </c>
      <c r="B203" s="304" t="s">
        <v>18</v>
      </c>
      <c r="C203" s="250">
        <v>88264</v>
      </c>
      <c r="D203" s="21" t="s">
        <v>200</v>
      </c>
      <c r="E203" s="22" t="s">
        <v>118</v>
      </c>
      <c r="F203" s="195">
        <v>0.5</v>
      </c>
      <c r="G203" s="34">
        <v>36.72</v>
      </c>
      <c r="H203" s="34"/>
      <c r="I203" s="34">
        <f>TRUNC(G203*F203,2)</f>
        <v>18.36</v>
      </c>
      <c r="J203" s="34"/>
      <c r="K203" s="34"/>
      <c r="L203" s="224"/>
      <c r="M203" s="225"/>
      <c r="N203" s="113"/>
      <c r="O203" s="225"/>
      <c r="P203" s="113"/>
      <c r="Q203" s="225"/>
      <c r="R203" s="64"/>
      <c r="S203" s="29"/>
      <c r="T203" s="29"/>
      <c r="U203" s="6"/>
    </row>
    <row r="204" spans="1:21" ht="30" customHeight="1" x14ac:dyDescent="0.25">
      <c r="A204" s="299" t="s">
        <v>194</v>
      </c>
      <c r="B204" s="300" t="s">
        <v>37</v>
      </c>
      <c r="C204" s="183"/>
      <c r="D204" s="25" t="s">
        <v>205</v>
      </c>
      <c r="E204" s="24" t="s">
        <v>117</v>
      </c>
      <c r="F204" s="197">
        <f>'Planilha Analítica'!F56</f>
        <v>15</v>
      </c>
      <c r="G204" s="89"/>
      <c r="H204" s="92">
        <f>SUM(H205:H208)</f>
        <v>14.08</v>
      </c>
      <c r="I204" s="92">
        <f>SUM(I205:I208)</f>
        <v>6.09</v>
      </c>
      <c r="J204" s="92">
        <f>I204+H204</f>
        <v>20.170000000000002</v>
      </c>
      <c r="K204" s="92">
        <f>ROUND(H204*$F204,2)</f>
        <v>211.2</v>
      </c>
      <c r="L204" s="92">
        <f>ROUND(I204*$F204,2)</f>
        <v>91.35</v>
      </c>
      <c r="M204" s="100">
        <f>L204+K204</f>
        <v>302.54999999999995</v>
      </c>
      <c r="N204" s="112">
        <f>$K$5</f>
        <v>0.2111176002216073</v>
      </c>
      <c r="O204" s="100">
        <f>ROUND(H204*(1+$N204),2)</f>
        <v>17.05</v>
      </c>
      <c r="P204" s="112">
        <f>$J$5</f>
        <v>0.26838623884514634</v>
      </c>
      <c r="Q204" s="100">
        <f>ROUND(I204*(1+$P204),2)</f>
        <v>7.72</v>
      </c>
      <c r="R204" s="28">
        <f>ROUND(O204*$F204,2)</f>
        <v>255.75</v>
      </c>
      <c r="S204" s="28">
        <f>ROUND(Q204*$F204,2)</f>
        <v>115.8</v>
      </c>
      <c r="T204" s="28">
        <f>S204+R204</f>
        <v>371.55</v>
      </c>
      <c r="U204" s="6"/>
    </row>
    <row r="205" spans="1:21" ht="16.5" customHeight="1" x14ac:dyDescent="0.25">
      <c r="A205" s="303" t="s">
        <v>284</v>
      </c>
      <c r="B205" s="304" t="s">
        <v>18</v>
      </c>
      <c r="C205" s="250">
        <v>2504</v>
      </c>
      <c r="D205" s="27" t="s">
        <v>206</v>
      </c>
      <c r="E205" s="26" t="s">
        <v>117</v>
      </c>
      <c r="F205" s="195">
        <v>1.1000000000000001</v>
      </c>
      <c r="G205" s="34">
        <v>10.73</v>
      </c>
      <c r="H205" s="93">
        <f>TRUNC(G205*F205,2)</f>
        <v>11.8</v>
      </c>
      <c r="I205" s="93"/>
      <c r="J205" s="93"/>
      <c r="K205" s="93"/>
      <c r="L205" s="224"/>
      <c r="M205" s="225"/>
      <c r="N205" s="113"/>
      <c r="O205" s="225"/>
      <c r="P205" s="113"/>
      <c r="Q205" s="225"/>
      <c r="R205" s="64"/>
      <c r="S205" s="29"/>
      <c r="T205" s="29"/>
      <c r="U205" s="6"/>
    </row>
    <row r="206" spans="1:21" ht="16.5" customHeight="1" x14ac:dyDescent="0.25">
      <c r="A206" s="303" t="s">
        <v>284</v>
      </c>
      <c r="B206" s="304" t="s">
        <v>18</v>
      </c>
      <c r="C206" s="250">
        <v>2488</v>
      </c>
      <c r="D206" s="27" t="s">
        <v>207</v>
      </c>
      <c r="E206" s="26" t="s">
        <v>126</v>
      </c>
      <c r="F206" s="195">
        <v>1</v>
      </c>
      <c r="G206" s="34">
        <v>2.2799999999999998</v>
      </c>
      <c r="H206" s="93">
        <f>TRUNC(G206*F206,2)</f>
        <v>2.2799999999999998</v>
      </c>
      <c r="I206" s="93"/>
      <c r="J206" s="93"/>
      <c r="K206" s="93"/>
      <c r="L206" s="224"/>
      <c r="M206" s="225"/>
      <c r="N206" s="113"/>
      <c r="O206" s="225"/>
      <c r="P206" s="113"/>
      <c r="Q206" s="225"/>
      <c r="R206" s="64"/>
      <c r="S206" s="29"/>
      <c r="T206" s="29"/>
      <c r="U206" s="6"/>
    </row>
    <row r="207" spans="1:21" ht="16.5" customHeight="1" x14ac:dyDescent="0.25">
      <c r="A207" s="303" t="s">
        <v>285</v>
      </c>
      <c r="B207" s="304" t="s">
        <v>18</v>
      </c>
      <c r="C207" s="250">
        <v>88247</v>
      </c>
      <c r="D207" s="21" t="s">
        <v>199</v>
      </c>
      <c r="E207" s="22" t="s">
        <v>118</v>
      </c>
      <c r="F207" s="195">
        <v>9.4500000000000001E-2</v>
      </c>
      <c r="G207" s="34">
        <v>27.82</v>
      </c>
      <c r="H207" s="34"/>
      <c r="I207" s="34">
        <f>TRUNC(G207*F207,2)</f>
        <v>2.62</v>
      </c>
      <c r="J207" s="34"/>
      <c r="K207" s="34"/>
      <c r="L207" s="224"/>
      <c r="M207" s="225"/>
      <c r="N207" s="113"/>
      <c r="O207" s="225"/>
      <c r="P207" s="113"/>
      <c r="Q207" s="225"/>
      <c r="R207" s="64"/>
      <c r="S207" s="29"/>
      <c r="T207" s="29"/>
      <c r="U207" s="6"/>
    </row>
    <row r="208" spans="1:21" ht="16.5" customHeight="1" x14ac:dyDescent="0.25">
      <c r="A208" s="303" t="s">
        <v>285</v>
      </c>
      <c r="B208" s="304" t="s">
        <v>18</v>
      </c>
      <c r="C208" s="250">
        <v>88264</v>
      </c>
      <c r="D208" s="21" t="s">
        <v>200</v>
      </c>
      <c r="E208" s="22" t="s">
        <v>118</v>
      </c>
      <c r="F208" s="195">
        <v>9.4500000000000001E-2</v>
      </c>
      <c r="G208" s="34">
        <v>36.72</v>
      </c>
      <c r="H208" s="34"/>
      <c r="I208" s="34">
        <f>TRUNC(G208*F208,2)</f>
        <v>3.47</v>
      </c>
      <c r="J208" s="34"/>
      <c r="K208" s="34"/>
      <c r="L208" s="224"/>
      <c r="M208" s="225"/>
      <c r="N208" s="113"/>
      <c r="O208" s="225"/>
      <c r="P208" s="113"/>
      <c r="Q208" s="225"/>
      <c r="R208" s="64"/>
      <c r="S208" s="29"/>
      <c r="T208" s="29"/>
      <c r="U208" s="6"/>
    </row>
    <row r="209" spans="1:21" ht="34.5" customHeight="1" x14ac:dyDescent="0.25">
      <c r="A209" s="299" t="s">
        <v>195</v>
      </c>
      <c r="B209" s="300" t="s">
        <v>37</v>
      </c>
      <c r="C209" s="183"/>
      <c r="D209" s="25" t="s">
        <v>274</v>
      </c>
      <c r="E209" s="24" t="s">
        <v>117</v>
      </c>
      <c r="F209" s="197">
        <f>'Planilha Analítica'!F57</f>
        <v>3</v>
      </c>
      <c r="G209" s="89"/>
      <c r="H209" s="92">
        <f>SUM(H210:H213)</f>
        <v>19.53</v>
      </c>
      <c r="I209" s="92">
        <f>SUM(I210:I213)</f>
        <v>6.09</v>
      </c>
      <c r="J209" s="92">
        <f>I209+H209</f>
        <v>25.62</v>
      </c>
      <c r="K209" s="92">
        <f>ROUND(H209*$F209,2)</f>
        <v>58.59</v>
      </c>
      <c r="L209" s="92">
        <f>ROUND(I209*$F209,2)</f>
        <v>18.27</v>
      </c>
      <c r="M209" s="100">
        <f>L209+K209</f>
        <v>76.86</v>
      </c>
      <c r="N209" s="112">
        <f>$K$5</f>
        <v>0.2111176002216073</v>
      </c>
      <c r="O209" s="100">
        <f>ROUND(H209*(1+$N209),2)</f>
        <v>23.65</v>
      </c>
      <c r="P209" s="112">
        <f>$J$5</f>
        <v>0.26838623884514634</v>
      </c>
      <c r="Q209" s="100">
        <f>ROUND(I209*(1+$P209),2)</f>
        <v>7.72</v>
      </c>
      <c r="R209" s="28">
        <f>ROUND(O209*$F209,2)</f>
        <v>70.95</v>
      </c>
      <c r="S209" s="28">
        <f>ROUND(Q209*$F209,2)</f>
        <v>23.16</v>
      </c>
      <c r="T209" s="28">
        <f>S209+R209</f>
        <v>94.11</v>
      </c>
      <c r="U209" s="6"/>
    </row>
    <row r="210" spans="1:21" ht="16.5" customHeight="1" x14ac:dyDescent="0.25">
      <c r="A210" s="303" t="s">
        <v>284</v>
      </c>
      <c r="B210" s="304" t="s">
        <v>18</v>
      </c>
      <c r="C210" s="250">
        <v>2501</v>
      </c>
      <c r="D210" s="27" t="s">
        <v>272</v>
      </c>
      <c r="E210" s="26" t="s">
        <v>117</v>
      </c>
      <c r="F210" s="195">
        <v>1.1000000000000001</v>
      </c>
      <c r="G210" s="34">
        <v>14.07</v>
      </c>
      <c r="H210" s="93">
        <f>TRUNC(G210*F210,2)</f>
        <v>15.47</v>
      </c>
      <c r="I210" s="93"/>
      <c r="J210" s="93"/>
      <c r="K210" s="93"/>
      <c r="L210" s="224"/>
      <c r="M210" s="225"/>
      <c r="N210" s="113"/>
      <c r="O210" s="225"/>
      <c r="P210" s="113"/>
      <c r="Q210" s="225"/>
      <c r="R210" s="64"/>
      <c r="S210" s="29"/>
      <c r="T210" s="29"/>
      <c r="U210" s="6"/>
    </row>
    <row r="211" spans="1:21" ht="16.5" customHeight="1" x14ac:dyDescent="0.25">
      <c r="A211" s="303" t="s">
        <v>284</v>
      </c>
      <c r="B211" s="304" t="s">
        <v>18</v>
      </c>
      <c r="C211" s="250">
        <v>2483</v>
      </c>
      <c r="D211" s="27" t="s">
        <v>273</v>
      </c>
      <c r="E211" s="26" t="s">
        <v>126</v>
      </c>
      <c r="F211" s="195">
        <v>1</v>
      </c>
      <c r="G211" s="34">
        <v>4.0599999999999996</v>
      </c>
      <c r="H211" s="93">
        <f>TRUNC(G211*F211,2)</f>
        <v>4.0599999999999996</v>
      </c>
      <c r="I211" s="93"/>
      <c r="J211" s="93"/>
      <c r="K211" s="93"/>
      <c r="L211" s="224"/>
      <c r="M211" s="225"/>
      <c r="N211" s="113"/>
      <c r="O211" s="225"/>
      <c r="P211" s="113"/>
      <c r="Q211" s="225"/>
      <c r="R211" s="64"/>
      <c r="S211" s="29"/>
      <c r="T211" s="29"/>
      <c r="U211" s="6"/>
    </row>
    <row r="212" spans="1:21" ht="16.5" customHeight="1" x14ac:dyDescent="0.25">
      <c r="A212" s="303" t="s">
        <v>285</v>
      </c>
      <c r="B212" s="304" t="s">
        <v>18</v>
      </c>
      <c r="C212" s="250">
        <v>88247</v>
      </c>
      <c r="D212" s="21" t="s">
        <v>199</v>
      </c>
      <c r="E212" s="22" t="s">
        <v>118</v>
      </c>
      <c r="F212" s="195">
        <v>9.4500000000000001E-2</v>
      </c>
      <c r="G212" s="34">
        <v>27.82</v>
      </c>
      <c r="H212" s="34"/>
      <c r="I212" s="34">
        <f>TRUNC(G212*F212,2)</f>
        <v>2.62</v>
      </c>
      <c r="J212" s="34"/>
      <c r="K212" s="34"/>
      <c r="L212" s="224"/>
      <c r="M212" s="225"/>
      <c r="N212" s="113"/>
      <c r="O212" s="225"/>
      <c r="P212" s="113"/>
      <c r="Q212" s="225"/>
      <c r="R212" s="64"/>
      <c r="S212" s="29"/>
      <c r="T212" s="29"/>
      <c r="U212" s="6"/>
    </row>
    <row r="213" spans="1:21" ht="16.5" customHeight="1" x14ac:dyDescent="0.25">
      <c r="A213" s="303" t="s">
        <v>285</v>
      </c>
      <c r="B213" s="304" t="s">
        <v>18</v>
      </c>
      <c r="C213" s="250">
        <v>88264</v>
      </c>
      <c r="D213" s="21" t="s">
        <v>200</v>
      </c>
      <c r="E213" s="22" t="s">
        <v>118</v>
      </c>
      <c r="F213" s="195">
        <v>9.4500000000000001E-2</v>
      </c>
      <c r="G213" s="34">
        <v>36.72</v>
      </c>
      <c r="H213" s="34"/>
      <c r="I213" s="34">
        <f>TRUNC(G213*F213,2)</f>
        <v>3.47</v>
      </c>
      <c r="J213" s="34"/>
      <c r="K213" s="34"/>
      <c r="L213" s="224"/>
      <c r="M213" s="225"/>
      <c r="N213" s="113"/>
      <c r="O213" s="225"/>
      <c r="P213" s="113"/>
      <c r="Q213" s="225"/>
      <c r="R213" s="64"/>
      <c r="S213" s="29"/>
      <c r="T213" s="29"/>
      <c r="U213" s="6"/>
    </row>
    <row r="214" spans="1:21" ht="16.5" customHeight="1" x14ac:dyDescent="0.25">
      <c r="A214" s="299" t="s">
        <v>196</v>
      </c>
      <c r="B214" s="300" t="s">
        <v>37</v>
      </c>
      <c r="C214" s="183"/>
      <c r="D214" s="19" t="s">
        <v>384</v>
      </c>
      <c r="E214" s="24" t="s">
        <v>117</v>
      </c>
      <c r="F214" s="197">
        <f>'Planilha Analítica'!F58</f>
        <v>80</v>
      </c>
      <c r="G214" s="89"/>
      <c r="H214" s="92">
        <f>SUM(H215:H218)</f>
        <v>31.64</v>
      </c>
      <c r="I214" s="92">
        <f>SUM(I215:I218)</f>
        <v>9.3500000000000014</v>
      </c>
      <c r="J214" s="92">
        <f>I214+H214</f>
        <v>40.99</v>
      </c>
      <c r="K214" s="92">
        <f>ROUND(H214*$F214,2)</f>
        <v>2531.1999999999998</v>
      </c>
      <c r="L214" s="92">
        <f>ROUND(I214*$F214,2)</f>
        <v>748</v>
      </c>
      <c r="M214" s="100">
        <f>L214+K214</f>
        <v>3279.2</v>
      </c>
      <c r="N214" s="112">
        <f>$K$5</f>
        <v>0.2111176002216073</v>
      </c>
      <c r="O214" s="100">
        <f>ROUND(H214*(1+$N214),2)</f>
        <v>38.32</v>
      </c>
      <c r="P214" s="112">
        <f>$J$5</f>
        <v>0.26838623884514634</v>
      </c>
      <c r="Q214" s="100">
        <f>ROUND(I214*(1+$P214),2)</f>
        <v>11.86</v>
      </c>
      <c r="R214" s="28">
        <f>ROUND(O214*$F214,2)</f>
        <v>3065.6</v>
      </c>
      <c r="S214" s="28">
        <f>ROUND(Q214*$F214,2)</f>
        <v>948.8</v>
      </c>
      <c r="T214" s="28">
        <f>S214+R214</f>
        <v>4014.3999999999996</v>
      </c>
      <c r="U214" s="6"/>
    </row>
    <row r="215" spans="1:21" x14ac:dyDescent="0.25">
      <c r="A215" s="303" t="s">
        <v>284</v>
      </c>
      <c r="B215" s="304" t="s">
        <v>294</v>
      </c>
      <c r="C215" s="268" t="s">
        <v>382</v>
      </c>
      <c r="D215" s="27" t="s">
        <v>383</v>
      </c>
      <c r="E215" s="26" t="s">
        <v>117</v>
      </c>
      <c r="F215" s="195">
        <v>1.0149999999999999</v>
      </c>
      <c r="G215" s="34">
        <v>31.01</v>
      </c>
      <c r="H215" s="93">
        <f>TRUNC(G215*F215,2)</f>
        <v>31.47</v>
      </c>
      <c r="I215" s="93"/>
      <c r="J215" s="93"/>
      <c r="K215" s="93"/>
      <c r="L215" s="224"/>
      <c r="M215" s="225"/>
      <c r="N215" s="113"/>
      <c r="O215" s="225"/>
      <c r="P215" s="113"/>
      <c r="Q215" s="225"/>
      <c r="R215" s="64"/>
      <c r="S215" s="29"/>
      <c r="T215" s="29"/>
      <c r="U215" s="6"/>
    </row>
    <row r="216" spans="1:21" ht="16.5" customHeight="1" x14ac:dyDescent="0.25">
      <c r="A216" s="303" t="s">
        <v>284</v>
      </c>
      <c r="B216" s="305" t="s">
        <v>18</v>
      </c>
      <c r="C216" s="268">
        <v>20111</v>
      </c>
      <c r="D216" s="21" t="s">
        <v>400</v>
      </c>
      <c r="E216" s="26" t="s">
        <v>126</v>
      </c>
      <c r="F216" s="195">
        <v>8.9999999999999993E-3</v>
      </c>
      <c r="G216" s="34">
        <v>19.46</v>
      </c>
      <c r="H216" s="93">
        <f>TRUNC(G216*F216,2)</f>
        <v>0.17</v>
      </c>
      <c r="I216" s="93"/>
      <c r="J216" s="93"/>
      <c r="K216" s="93"/>
      <c r="L216" s="224"/>
      <c r="M216" s="225"/>
      <c r="N216" s="113"/>
      <c r="O216" s="225"/>
      <c r="P216" s="113"/>
      <c r="Q216" s="225"/>
      <c r="R216" s="64"/>
      <c r="S216" s="29"/>
      <c r="T216" s="29"/>
      <c r="U216" s="6"/>
    </row>
    <row r="217" spans="1:21" ht="16.5" customHeight="1" x14ac:dyDescent="0.25">
      <c r="A217" s="303" t="s">
        <v>285</v>
      </c>
      <c r="B217" s="305" t="s">
        <v>18</v>
      </c>
      <c r="C217" s="268">
        <v>88247</v>
      </c>
      <c r="D217" s="21" t="s">
        <v>199</v>
      </c>
      <c r="E217" s="22" t="s">
        <v>118</v>
      </c>
      <c r="F217" s="195">
        <v>0.14499999999999999</v>
      </c>
      <c r="G217" s="34">
        <v>27.82</v>
      </c>
      <c r="H217" s="34"/>
      <c r="I217" s="34">
        <f>TRUNC(G217*F217,2)</f>
        <v>4.03</v>
      </c>
      <c r="J217" s="34"/>
      <c r="K217" s="34"/>
      <c r="L217" s="224"/>
      <c r="M217" s="225"/>
      <c r="N217" s="113"/>
      <c r="O217" s="225"/>
      <c r="P217" s="113"/>
      <c r="Q217" s="225"/>
      <c r="R217" s="64"/>
      <c r="S217" s="29"/>
      <c r="T217" s="29"/>
      <c r="U217" s="6"/>
    </row>
    <row r="218" spans="1:21" ht="16.5" customHeight="1" x14ac:dyDescent="0.25">
      <c r="A218" s="303" t="s">
        <v>285</v>
      </c>
      <c r="B218" s="304" t="s">
        <v>18</v>
      </c>
      <c r="C218" s="268">
        <v>88264</v>
      </c>
      <c r="D218" s="21" t="s">
        <v>200</v>
      </c>
      <c r="E218" s="22" t="s">
        <v>118</v>
      </c>
      <c r="F218" s="195">
        <v>0.14499999999999999</v>
      </c>
      <c r="G218" s="34">
        <v>36.72</v>
      </c>
      <c r="H218" s="34"/>
      <c r="I218" s="34">
        <f>TRUNC(G218*F218,2)</f>
        <v>5.32</v>
      </c>
      <c r="J218" s="34"/>
      <c r="K218" s="34"/>
      <c r="L218" s="224"/>
      <c r="M218" s="225"/>
      <c r="N218" s="113"/>
      <c r="O218" s="225"/>
      <c r="P218" s="113"/>
      <c r="Q218" s="225"/>
      <c r="R218" s="64"/>
      <c r="S218" s="29"/>
      <c r="T218" s="29"/>
      <c r="U218" s="6"/>
    </row>
    <row r="219" spans="1:21" ht="16.5" customHeight="1" x14ac:dyDescent="0.25">
      <c r="A219" s="299" t="s">
        <v>197</v>
      </c>
      <c r="B219" s="300" t="s">
        <v>37</v>
      </c>
      <c r="C219" s="183"/>
      <c r="D219" s="19" t="s">
        <v>387</v>
      </c>
      <c r="E219" s="24" t="s">
        <v>117</v>
      </c>
      <c r="F219" s="197">
        <f>'Planilha Analítica'!F59</f>
        <v>20</v>
      </c>
      <c r="G219" s="89"/>
      <c r="H219" s="92">
        <f>SUM(H220:H223)</f>
        <v>23.44</v>
      </c>
      <c r="I219" s="92">
        <f>SUM(I220:I223)</f>
        <v>7.41</v>
      </c>
      <c r="J219" s="92">
        <f>I219+H219</f>
        <v>30.85</v>
      </c>
      <c r="K219" s="92">
        <f>ROUND(H219*$F219,2)</f>
        <v>468.8</v>
      </c>
      <c r="L219" s="92">
        <f>ROUND(I219*$F219,2)</f>
        <v>148.19999999999999</v>
      </c>
      <c r="M219" s="100">
        <f>L219+K219</f>
        <v>617</v>
      </c>
      <c r="N219" s="112">
        <f>$K$5</f>
        <v>0.2111176002216073</v>
      </c>
      <c r="O219" s="100">
        <f>ROUND(H219*(1+$N219),2)</f>
        <v>28.39</v>
      </c>
      <c r="P219" s="112">
        <f>$J$5</f>
        <v>0.26838623884514634</v>
      </c>
      <c r="Q219" s="100">
        <f>ROUND(I219*(1+$P219),2)</f>
        <v>9.4</v>
      </c>
      <c r="R219" s="28">
        <f>ROUND(O219*$F219,2)</f>
        <v>567.79999999999995</v>
      </c>
      <c r="S219" s="28">
        <f>ROUND(Q219*$F219,2)</f>
        <v>188</v>
      </c>
      <c r="T219" s="28">
        <f>S219+R219</f>
        <v>755.8</v>
      </c>
      <c r="U219" s="6"/>
    </row>
    <row r="220" spans="1:21" x14ac:dyDescent="0.25">
      <c r="A220" s="303" t="s">
        <v>284</v>
      </c>
      <c r="B220" s="304" t="s">
        <v>294</v>
      </c>
      <c r="C220" s="250" t="s">
        <v>385</v>
      </c>
      <c r="D220" s="27" t="s">
        <v>386</v>
      </c>
      <c r="E220" s="26" t="s">
        <v>117</v>
      </c>
      <c r="F220" s="195">
        <v>1.0269999999999999</v>
      </c>
      <c r="G220" s="34">
        <v>22.66</v>
      </c>
      <c r="H220" s="93">
        <f>TRUNC(G220*F220,2)</f>
        <v>23.27</v>
      </c>
      <c r="I220" s="93"/>
      <c r="J220" s="93"/>
      <c r="K220" s="93"/>
      <c r="L220" s="224"/>
      <c r="M220" s="225"/>
      <c r="N220" s="113"/>
      <c r="O220" s="225"/>
      <c r="P220" s="113"/>
      <c r="Q220" s="225"/>
      <c r="R220" s="64"/>
      <c r="S220" s="29"/>
      <c r="T220" s="29"/>
      <c r="U220" s="6"/>
    </row>
    <row r="221" spans="1:21" ht="16.5" customHeight="1" x14ac:dyDescent="0.25">
      <c r="A221" s="303" t="s">
        <v>284</v>
      </c>
      <c r="B221" s="305" t="s">
        <v>18</v>
      </c>
      <c r="C221" s="268">
        <v>20111</v>
      </c>
      <c r="D221" s="21" t="s">
        <v>400</v>
      </c>
      <c r="E221" s="26" t="s">
        <v>126</v>
      </c>
      <c r="F221" s="195">
        <v>8.9999999999999993E-3</v>
      </c>
      <c r="G221" s="34">
        <v>19.46</v>
      </c>
      <c r="H221" s="93">
        <f>TRUNC(G221*F221,2)</f>
        <v>0.17</v>
      </c>
      <c r="I221" s="93"/>
      <c r="J221" s="93"/>
      <c r="K221" s="93"/>
      <c r="L221" s="224"/>
      <c r="M221" s="225"/>
      <c r="N221" s="113"/>
      <c r="O221" s="225"/>
      <c r="P221" s="113"/>
      <c r="Q221" s="225"/>
      <c r="R221" s="64"/>
      <c r="S221" s="29"/>
      <c r="T221" s="29"/>
      <c r="U221" s="6"/>
    </row>
    <row r="222" spans="1:21" ht="16.5" customHeight="1" x14ac:dyDescent="0.25">
      <c r="A222" s="303" t="s">
        <v>285</v>
      </c>
      <c r="B222" s="305" t="s">
        <v>18</v>
      </c>
      <c r="C222" s="250">
        <v>88247</v>
      </c>
      <c r="D222" s="21" t="s">
        <v>199</v>
      </c>
      <c r="E222" s="22" t="s">
        <v>118</v>
      </c>
      <c r="F222" s="195">
        <v>0.115</v>
      </c>
      <c r="G222" s="34">
        <v>27.82</v>
      </c>
      <c r="H222" s="34"/>
      <c r="I222" s="34">
        <f>TRUNC(G222*F222,2)</f>
        <v>3.19</v>
      </c>
      <c r="J222" s="34"/>
      <c r="K222" s="34"/>
      <c r="L222" s="224"/>
      <c r="M222" s="225"/>
      <c r="N222" s="113"/>
      <c r="O222" s="225"/>
      <c r="P222" s="113"/>
      <c r="Q222" s="225"/>
      <c r="R222" s="64"/>
      <c r="S222" s="29"/>
      <c r="T222" s="29"/>
      <c r="U222" s="6"/>
    </row>
    <row r="223" spans="1:21" ht="16.5" customHeight="1" x14ac:dyDescent="0.25">
      <c r="A223" s="303" t="s">
        <v>285</v>
      </c>
      <c r="B223" s="304" t="s">
        <v>18</v>
      </c>
      <c r="C223" s="250">
        <v>88264</v>
      </c>
      <c r="D223" s="21" t="s">
        <v>200</v>
      </c>
      <c r="E223" s="22" t="s">
        <v>118</v>
      </c>
      <c r="F223" s="195">
        <v>0.115</v>
      </c>
      <c r="G223" s="34">
        <v>36.72</v>
      </c>
      <c r="H223" s="34"/>
      <c r="I223" s="34">
        <f>TRUNC(G223*F223,2)</f>
        <v>4.22</v>
      </c>
      <c r="J223" s="34"/>
      <c r="K223" s="34"/>
      <c r="L223" s="224"/>
      <c r="M223" s="225"/>
      <c r="N223" s="113"/>
      <c r="O223" s="225"/>
      <c r="P223" s="113"/>
      <c r="Q223" s="225"/>
      <c r="R223" s="64"/>
      <c r="S223" s="29"/>
      <c r="T223" s="29"/>
      <c r="U223" s="6"/>
    </row>
    <row r="224" spans="1:21" ht="16.5" customHeight="1" x14ac:dyDescent="0.25">
      <c r="A224" s="299" t="s">
        <v>201</v>
      </c>
      <c r="B224" s="300" t="s">
        <v>37</v>
      </c>
      <c r="C224" s="183"/>
      <c r="D224" s="19" t="s">
        <v>267</v>
      </c>
      <c r="E224" s="24" t="s">
        <v>117</v>
      </c>
      <c r="F224" s="197">
        <f>'Planilha Analítica'!F60</f>
        <v>348</v>
      </c>
      <c r="G224" s="89"/>
      <c r="H224" s="92">
        <f>SUM(H225:H228)</f>
        <v>9.57</v>
      </c>
      <c r="I224" s="92">
        <f>SUM(I225:I228)</f>
        <v>4.96</v>
      </c>
      <c r="J224" s="92">
        <f>I224+H224</f>
        <v>14.530000000000001</v>
      </c>
      <c r="K224" s="92">
        <f>ROUND(H224*$F224,2)</f>
        <v>3330.36</v>
      </c>
      <c r="L224" s="92">
        <f>ROUND(I224*$F224,2)</f>
        <v>1726.08</v>
      </c>
      <c r="M224" s="100">
        <f>L224+K224</f>
        <v>5056.4400000000005</v>
      </c>
      <c r="N224" s="112">
        <f>$K$5</f>
        <v>0.2111176002216073</v>
      </c>
      <c r="O224" s="100">
        <f>ROUND(H224*(1+$N224),2)</f>
        <v>11.59</v>
      </c>
      <c r="P224" s="112">
        <f>$J$5</f>
        <v>0.26838623884514634</v>
      </c>
      <c r="Q224" s="100">
        <f>ROUND(I224*(1+$P224),2)</f>
        <v>6.29</v>
      </c>
      <c r="R224" s="28">
        <f>ROUND(O224*$F224,2)</f>
        <v>4033.32</v>
      </c>
      <c r="S224" s="28">
        <f>ROUND(Q224*$F224,2)</f>
        <v>2188.92</v>
      </c>
      <c r="T224" s="28">
        <f>S224+R224</f>
        <v>6222.24</v>
      </c>
      <c r="U224" s="6"/>
    </row>
    <row r="225" spans="1:21" x14ac:dyDescent="0.25">
      <c r="A225" s="303" t="s">
        <v>284</v>
      </c>
      <c r="B225" s="304" t="s">
        <v>294</v>
      </c>
      <c r="C225" s="250" t="s">
        <v>318</v>
      </c>
      <c r="D225" s="27" t="s">
        <v>319</v>
      </c>
      <c r="E225" s="26" t="s">
        <v>117</v>
      </c>
      <c r="F225" s="195">
        <v>1.0269999999999999</v>
      </c>
      <c r="G225" s="34">
        <v>9.16</v>
      </c>
      <c r="H225" s="93">
        <f>TRUNC(G225*F225,2)</f>
        <v>9.4</v>
      </c>
      <c r="I225" s="93"/>
      <c r="J225" s="93"/>
      <c r="K225" s="93"/>
      <c r="L225" s="224"/>
      <c r="M225" s="225"/>
      <c r="N225" s="113"/>
      <c r="O225" s="225"/>
      <c r="P225" s="113"/>
      <c r="Q225" s="225"/>
      <c r="R225" s="64"/>
      <c r="S225" s="29"/>
      <c r="T225" s="29"/>
      <c r="U225" s="6"/>
    </row>
    <row r="226" spans="1:21" ht="16.5" customHeight="1" x14ac:dyDescent="0.25">
      <c r="A226" s="303" t="s">
        <v>284</v>
      </c>
      <c r="B226" s="305" t="s">
        <v>18</v>
      </c>
      <c r="C226" s="268">
        <v>20111</v>
      </c>
      <c r="D226" s="21" t="s">
        <v>400</v>
      </c>
      <c r="E226" s="26" t="s">
        <v>126</v>
      </c>
      <c r="F226" s="195">
        <v>8.9999999999999993E-3</v>
      </c>
      <c r="G226" s="34">
        <v>19.46</v>
      </c>
      <c r="H226" s="93">
        <f>TRUNC(G226*F226,2)</f>
        <v>0.17</v>
      </c>
      <c r="I226" s="93"/>
      <c r="J226" s="93"/>
      <c r="K226" s="93"/>
      <c r="L226" s="224"/>
      <c r="M226" s="225"/>
      <c r="N226" s="113"/>
      <c r="O226" s="225"/>
      <c r="P226" s="113"/>
      <c r="Q226" s="225"/>
      <c r="R226" s="64"/>
      <c r="S226" s="29"/>
      <c r="T226" s="29"/>
      <c r="U226" s="6"/>
    </row>
    <row r="227" spans="1:21" ht="16.5" customHeight="1" x14ac:dyDescent="0.25">
      <c r="A227" s="303" t="s">
        <v>285</v>
      </c>
      <c r="B227" s="305" t="s">
        <v>18</v>
      </c>
      <c r="C227" s="250">
        <v>88247</v>
      </c>
      <c r="D227" s="21" t="s">
        <v>199</v>
      </c>
      <c r="E227" s="22" t="s">
        <v>118</v>
      </c>
      <c r="F227" s="195">
        <v>7.6999999999999999E-2</v>
      </c>
      <c r="G227" s="34">
        <v>27.82</v>
      </c>
      <c r="H227" s="34"/>
      <c r="I227" s="34">
        <f>TRUNC(G227*F227,2)</f>
        <v>2.14</v>
      </c>
      <c r="J227" s="34"/>
      <c r="K227" s="34"/>
      <c r="L227" s="224"/>
      <c r="M227" s="225"/>
      <c r="N227" s="113"/>
      <c r="O227" s="225"/>
      <c r="P227" s="113"/>
      <c r="Q227" s="225"/>
      <c r="R227" s="64"/>
      <c r="S227" s="29"/>
      <c r="T227" s="29"/>
      <c r="U227" s="6"/>
    </row>
    <row r="228" spans="1:21" ht="16.5" customHeight="1" x14ac:dyDescent="0.25">
      <c r="A228" s="303" t="s">
        <v>285</v>
      </c>
      <c r="B228" s="304" t="s">
        <v>18</v>
      </c>
      <c r="C228" s="250">
        <v>88264</v>
      </c>
      <c r="D228" s="21" t="s">
        <v>200</v>
      </c>
      <c r="E228" s="22" t="s">
        <v>118</v>
      </c>
      <c r="F228" s="195">
        <v>7.6999999999999999E-2</v>
      </c>
      <c r="G228" s="34">
        <v>36.72</v>
      </c>
      <c r="H228" s="34"/>
      <c r="I228" s="34">
        <f>TRUNC(G228*F228,2)</f>
        <v>2.82</v>
      </c>
      <c r="J228" s="34"/>
      <c r="K228" s="34"/>
      <c r="L228" s="224"/>
      <c r="M228" s="225"/>
      <c r="N228" s="113"/>
      <c r="O228" s="225"/>
      <c r="P228" s="113"/>
      <c r="Q228" s="225"/>
      <c r="R228" s="64"/>
      <c r="S228" s="29"/>
      <c r="T228" s="29"/>
      <c r="U228" s="6"/>
    </row>
    <row r="229" spans="1:21" ht="16.5" customHeight="1" x14ac:dyDescent="0.25">
      <c r="A229" s="299" t="s">
        <v>202</v>
      </c>
      <c r="B229" s="300" t="s">
        <v>37</v>
      </c>
      <c r="C229" s="183"/>
      <c r="D229" s="19" t="s">
        <v>290</v>
      </c>
      <c r="E229" s="24" t="s">
        <v>117</v>
      </c>
      <c r="F229" s="197">
        <f>'Planilha Analítica'!F61</f>
        <v>435</v>
      </c>
      <c r="G229" s="89"/>
      <c r="H229" s="92">
        <f>SUM(H230:H233)</f>
        <v>5.2299999999999995</v>
      </c>
      <c r="I229" s="92">
        <f>SUM(I230:I233)</f>
        <v>3.34</v>
      </c>
      <c r="J229" s="92">
        <f>I229+H229</f>
        <v>8.57</v>
      </c>
      <c r="K229" s="92">
        <f>ROUND(H229*$F229,2)</f>
        <v>2275.0500000000002</v>
      </c>
      <c r="L229" s="92">
        <f>ROUND(I229*$F229,2)</f>
        <v>1452.9</v>
      </c>
      <c r="M229" s="100">
        <f>L229+K229</f>
        <v>3727.9500000000003</v>
      </c>
      <c r="N229" s="112">
        <f>$K$5</f>
        <v>0.2111176002216073</v>
      </c>
      <c r="O229" s="100">
        <f>ROUND(H229*(1+$N229),2)</f>
        <v>6.33</v>
      </c>
      <c r="P229" s="112">
        <f>$J$5</f>
        <v>0.26838623884514634</v>
      </c>
      <c r="Q229" s="100">
        <f>ROUND(I229*(1+$P229),2)</f>
        <v>4.24</v>
      </c>
      <c r="R229" s="28">
        <f>ROUND(O229*$F229,2)</f>
        <v>2753.55</v>
      </c>
      <c r="S229" s="28">
        <f>ROUND(Q229*$F229,2)</f>
        <v>1844.4</v>
      </c>
      <c r="T229" s="28">
        <f>S229+R229</f>
        <v>4597.9500000000007</v>
      </c>
      <c r="U229" s="6"/>
    </row>
    <row r="230" spans="1:21" ht="16.5" customHeight="1" x14ac:dyDescent="0.25">
      <c r="A230" s="303" t="s">
        <v>284</v>
      </c>
      <c r="B230" s="304" t="s">
        <v>294</v>
      </c>
      <c r="C230" s="250" t="s">
        <v>320</v>
      </c>
      <c r="D230" s="27" t="s">
        <v>321</v>
      </c>
      <c r="E230" s="26" t="s">
        <v>117</v>
      </c>
      <c r="F230" s="195">
        <v>1.19</v>
      </c>
      <c r="G230" s="34">
        <v>4.26</v>
      </c>
      <c r="H230" s="93">
        <f>TRUNC(G230*F230,2)</f>
        <v>5.0599999999999996</v>
      </c>
      <c r="I230" s="93"/>
      <c r="J230" s="93"/>
      <c r="K230" s="93"/>
      <c r="L230" s="224"/>
      <c r="M230" s="225"/>
      <c r="N230" s="113"/>
      <c r="O230" s="225"/>
      <c r="P230" s="113"/>
      <c r="Q230" s="225"/>
      <c r="R230" s="64"/>
      <c r="S230" s="29"/>
      <c r="T230" s="29"/>
      <c r="U230" s="6"/>
    </row>
    <row r="231" spans="1:21" ht="16.5" customHeight="1" x14ac:dyDescent="0.25">
      <c r="A231" s="303" t="s">
        <v>284</v>
      </c>
      <c r="B231" s="305" t="s">
        <v>18</v>
      </c>
      <c r="C231" s="268">
        <v>20111</v>
      </c>
      <c r="D231" s="21" t="s">
        <v>400</v>
      </c>
      <c r="E231" s="26" t="s">
        <v>126</v>
      </c>
      <c r="F231" s="195">
        <v>8.9999999999999993E-3</v>
      </c>
      <c r="G231" s="34">
        <v>19.46</v>
      </c>
      <c r="H231" s="93">
        <f>TRUNC(G231*F231,2)</f>
        <v>0.17</v>
      </c>
      <c r="I231" s="93"/>
      <c r="J231" s="93"/>
      <c r="K231" s="93"/>
      <c r="L231" s="224"/>
      <c r="M231" s="225"/>
      <c r="N231" s="113"/>
      <c r="O231" s="225"/>
      <c r="P231" s="113"/>
      <c r="Q231" s="225"/>
      <c r="R231" s="64"/>
      <c r="S231" s="29"/>
      <c r="T231" s="29"/>
      <c r="U231" s="6"/>
    </row>
    <row r="232" spans="1:21" ht="16.5" customHeight="1" x14ac:dyDescent="0.25">
      <c r="A232" s="303" t="s">
        <v>285</v>
      </c>
      <c r="B232" s="305" t="s">
        <v>18</v>
      </c>
      <c r="C232" s="250">
        <v>88247</v>
      </c>
      <c r="D232" s="21" t="s">
        <v>199</v>
      </c>
      <c r="E232" s="22" t="s">
        <v>118</v>
      </c>
      <c r="F232" s="195">
        <v>5.1999999999999998E-2</v>
      </c>
      <c r="G232" s="34">
        <v>27.82</v>
      </c>
      <c r="H232" s="34"/>
      <c r="I232" s="34">
        <f>TRUNC(G232*F232,2)</f>
        <v>1.44</v>
      </c>
      <c r="J232" s="34"/>
      <c r="K232" s="34"/>
      <c r="L232" s="224"/>
      <c r="M232" s="225"/>
      <c r="N232" s="113"/>
      <c r="O232" s="225"/>
      <c r="P232" s="113"/>
      <c r="Q232" s="225"/>
      <c r="R232" s="64"/>
      <c r="S232" s="29"/>
      <c r="T232" s="29"/>
      <c r="U232" s="6"/>
    </row>
    <row r="233" spans="1:21" ht="16.5" customHeight="1" x14ac:dyDescent="0.25">
      <c r="A233" s="303" t="s">
        <v>285</v>
      </c>
      <c r="B233" s="304" t="s">
        <v>18</v>
      </c>
      <c r="C233" s="250">
        <v>88264</v>
      </c>
      <c r="D233" s="21" t="s">
        <v>200</v>
      </c>
      <c r="E233" s="22" t="s">
        <v>118</v>
      </c>
      <c r="F233" s="195">
        <v>5.1999999999999998E-2</v>
      </c>
      <c r="G233" s="34">
        <v>36.72</v>
      </c>
      <c r="H233" s="34"/>
      <c r="I233" s="34">
        <f>TRUNC(G233*F233,2)</f>
        <v>1.9</v>
      </c>
      <c r="J233" s="34"/>
      <c r="K233" s="34"/>
      <c r="L233" s="224"/>
      <c r="M233" s="225"/>
      <c r="N233" s="113"/>
      <c r="O233" s="225"/>
      <c r="P233" s="113"/>
      <c r="Q233" s="225"/>
      <c r="R233" s="64"/>
      <c r="S233" s="29"/>
      <c r="T233" s="29"/>
      <c r="U233" s="6"/>
    </row>
    <row r="234" spans="1:21" ht="16.5" customHeight="1" x14ac:dyDescent="0.25">
      <c r="A234" s="299" t="s">
        <v>203</v>
      </c>
      <c r="B234" s="300" t="s">
        <v>37</v>
      </c>
      <c r="C234" s="183"/>
      <c r="D234" s="19" t="s">
        <v>289</v>
      </c>
      <c r="E234" s="24" t="s">
        <v>117</v>
      </c>
      <c r="F234" s="197">
        <f>'Planilha Analítica'!F62</f>
        <v>180</v>
      </c>
      <c r="G234" s="89"/>
      <c r="H234" s="92">
        <f>SUM(H235:H238)</f>
        <v>2.4899999999999998</v>
      </c>
      <c r="I234" s="92">
        <f>SUM(I235:I238)</f>
        <v>1.9300000000000002</v>
      </c>
      <c r="J234" s="92">
        <f>I234+H234</f>
        <v>4.42</v>
      </c>
      <c r="K234" s="92">
        <f>ROUND(H234*$F234,2)</f>
        <v>448.2</v>
      </c>
      <c r="L234" s="92">
        <f>ROUND(I234*$F234,2)</f>
        <v>347.4</v>
      </c>
      <c r="M234" s="100">
        <f>L234+K234</f>
        <v>795.59999999999991</v>
      </c>
      <c r="N234" s="112">
        <f>$K$5</f>
        <v>0.2111176002216073</v>
      </c>
      <c r="O234" s="100">
        <f>ROUND(H234*(1+$N234),2)</f>
        <v>3.02</v>
      </c>
      <c r="P234" s="112">
        <f>$J$5</f>
        <v>0.26838623884514634</v>
      </c>
      <c r="Q234" s="100">
        <f>ROUND(I234*(1+$P234),2)</f>
        <v>2.4500000000000002</v>
      </c>
      <c r="R234" s="28">
        <f>ROUND(O234*$F234,2)</f>
        <v>543.6</v>
      </c>
      <c r="S234" s="28">
        <f>ROUND(Q234*$F234,2)</f>
        <v>441</v>
      </c>
      <c r="T234" s="28">
        <f>S234+R234</f>
        <v>984.6</v>
      </c>
      <c r="U234" s="6"/>
    </row>
    <row r="235" spans="1:21" ht="16.5" customHeight="1" x14ac:dyDescent="0.25">
      <c r="A235" s="303" t="s">
        <v>284</v>
      </c>
      <c r="B235" s="304" t="s">
        <v>294</v>
      </c>
      <c r="C235" s="250" t="s">
        <v>312</v>
      </c>
      <c r="D235" s="27" t="s">
        <v>313</v>
      </c>
      <c r="E235" s="26" t="s">
        <v>117</v>
      </c>
      <c r="F235" s="195">
        <v>1.19</v>
      </c>
      <c r="G235" s="34">
        <v>1.95</v>
      </c>
      <c r="H235" s="93">
        <f>TRUNC(G235*F235,2)</f>
        <v>2.3199999999999998</v>
      </c>
      <c r="I235" s="93"/>
      <c r="J235" s="93"/>
      <c r="K235" s="93"/>
      <c r="L235" s="224"/>
      <c r="M235" s="225"/>
      <c r="N235" s="113"/>
      <c r="O235" s="225"/>
      <c r="P235" s="113"/>
      <c r="Q235" s="225"/>
      <c r="R235" s="64"/>
      <c r="S235" s="29"/>
      <c r="T235" s="29"/>
      <c r="U235" s="6"/>
    </row>
    <row r="236" spans="1:21" ht="16.5" customHeight="1" x14ac:dyDescent="0.25">
      <c r="A236" s="303" t="s">
        <v>284</v>
      </c>
      <c r="B236" s="305" t="s">
        <v>18</v>
      </c>
      <c r="C236" s="268">
        <v>20111</v>
      </c>
      <c r="D236" s="21" t="s">
        <v>400</v>
      </c>
      <c r="E236" s="26" t="s">
        <v>126</v>
      </c>
      <c r="F236" s="195">
        <v>8.9999999999999993E-3</v>
      </c>
      <c r="G236" s="34">
        <v>19.46</v>
      </c>
      <c r="H236" s="93">
        <f>TRUNC(G236*F236,2)</f>
        <v>0.17</v>
      </c>
      <c r="I236" s="93"/>
      <c r="J236" s="93"/>
      <c r="K236" s="93"/>
      <c r="L236" s="224"/>
      <c r="M236" s="225"/>
      <c r="N236" s="113"/>
      <c r="O236" s="225"/>
      <c r="P236" s="113"/>
      <c r="Q236" s="225"/>
      <c r="R236" s="64"/>
      <c r="S236" s="29"/>
      <c r="T236" s="29"/>
      <c r="U236" s="6"/>
    </row>
    <row r="237" spans="1:21" ht="16.5" customHeight="1" x14ac:dyDescent="0.25">
      <c r="A237" s="303" t="s">
        <v>285</v>
      </c>
      <c r="B237" s="305" t="s">
        <v>18</v>
      </c>
      <c r="C237" s="250">
        <v>88247</v>
      </c>
      <c r="D237" s="21" t="s">
        <v>199</v>
      </c>
      <c r="E237" s="22" t="s">
        <v>118</v>
      </c>
      <c r="F237" s="195">
        <v>0.03</v>
      </c>
      <c r="G237" s="34">
        <v>27.82</v>
      </c>
      <c r="H237" s="34"/>
      <c r="I237" s="34">
        <f>TRUNC(G237*F237,2)</f>
        <v>0.83</v>
      </c>
      <c r="J237" s="34"/>
      <c r="K237" s="34"/>
      <c r="L237" s="224"/>
      <c r="M237" s="225"/>
      <c r="N237" s="113"/>
      <c r="O237" s="225"/>
      <c r="P237" s="113"/>
      <c r="Q237" s="225"/>
      <c r="R237" s="64"/>
      <c r="S237" s="29"/>
      <c r="T237" s="29"/>
      <c r="U237" s="6"/>
    </row>
    <row r="238" spans="1:21" ht="16.5" customHeight="1" x14ac:dyDescent="0.25">
      <c r="A238" s="303" t="s">
        <v>285</v>
      </c>
      <c r="B238" s="304" t="s">
        <v>18</v>
      </c>
      <c r="C238" s="250">
        <v>88264</v>
      </c>
      <c r="D238" s="21" t="s">
        <v>200</v>
      </c>
      <c r="E238" s="22" t="s">
        <v>118</v>
      </c>
      <c r="F238" s="195">
        <v>0.03</v>
      </c>
      <c r="G238" s="34">
        <v>36.72</v>
      </c>
      <c r="H238" s="34"/>
      <c r="I238" s="34">
        <f>TRUNC(G238*F238,2)</f>
        <v>1.1000000000000001</v>
      </c>
      <c r="J238" s="34"/>
      <c r="K238" s="34"/>
      <c r="L238" s="224"/>
      <c r="M238" s="225"/>
      <c r="N238" s="113"/>
      <c r="O238" s="225"/>
      <c r="P238" s="113"/>
      <c r="Q238" s="225"/>
      <c r="R238" s="64"/>
      <c r="S238" s="29"/>
      <c r="T238" s="29"/>
      <c r="U238" s="6"/>
    </row>
    <row r="239" spans="1:21" ht="16.5" customHeight="1" x14ac:dyDescent="0.25">
      <c r="A239" s="299" t="s">
        <v>280</v>
      </c>
      <c r="B239" s="300" t="s">
        <v>37</v>
      </c>
      <c r="C239" s="183"/>
      <c r="D239" s="25" t="s">
        <v>208</v>
      </c>
      <c r="E239" s="24" t="s">
        <v>117</v>
      </c>
      <c r="F239" s="197">
        <f>'Planilha Analítica'!F63</f>
        <v>265</v>
      </c>
      <c r="G239" s="89"/>
      <c r="H239" s="92">
        <f>SUM(H240:H242)</f>
        <v>4.8</v>
      </c>
      <c r="I239" s="92">
        <f>SUM(I240:I242)</f>
        <v>1.9300000000000002</v>
      </c>
      <c r="J239" s="92">
        <f>I239+H239</f>
        <v>6.73</v>
      </c>
      <c r="K239" s="92">
        <f>ROUND(H239*$F239,2)</f>
        <v>1272</v>
      </c>
      <c r="L239" s="92">
        <f>ROUND(I239*$F239,2)</f>
        <v>511.45</v>
      </c>
      <c r="M239" s="100">
        <f>L239+K239</f>
        <v>1783.45</v>
      </c>
      <c r="N239" s="112">
        <f>$K$5</f>
        <v>0.2111176002216073</v>
      </c>
      <c r="O239" s="100">
        <f>ROUND(H239*(1+$N239),2)</f>
        <v>5.81</v>
      </c>
      <c r="P239" s="112">
        <f>$J$5</f>
        <v>0.26838623884514634</v>
      </c>
      <c r="Q239" s="100">
        <f>ROUND(I239*(1+$P239),2)</f>
        <v>2.4500000000000002</v>
      </c>
      <c r="R239" s="28">
        <f>ROUND(O239*$F239,2)</f>
        <v>1539.65</v>
      </c>
      <c r="S239" s="28">
        <f>ROUND(Q239*$F239,2)</f>
        <v>649.25</v>
      </c>
      <c r="T239" s="28">
        <f>S239+R239</f>
        <v>2188.9</v>
      </c>
      <c r="U239" s="6"/>
    </row>
    <row r="240" spans="1:21" ht="16.5" customHeight="1" x14ac:dyDescent="0.25">
      <c r="A240" s="303" t="s">
        <v>284</v>
      </c>
      <c r="B240" s="304" t="s">
        <v>21</v>
      </c>
      <c r="C240" s="250" t="s">
        <v>373</v>
      </c>
      <c r="D240" s="27" t="s">
        <v>209</v>
      </c>
      <c r="E240" s="22" t="s">
        <v>117</v>
      </c>
      <c r="F240" s="195">
        <v>1</v>
      </c>
      <c r="G240" s="34">
        <v>4.8</v>
      </c>
      <c r="H240" s="93">
        <f>TRUNC(G240*F240,2)</f>
        <v>4.8</v>
      </c>
      <c r="I240" s="93"/>
      <c r="J240" s="93"/>
      <c r="K240" s="93"/>
      <c r="L240" s="224"/>
      <c r="M240" s="225"/>
      <c r="N240" s="113"/>
      <c r="O240" s="225"/>
      <c r="P240" s="113"/>
      <c r="Q240" s="225"/>
      <c r="R240" s="64"/>
      <c r="S240" s="29"/>
      <c r="T240" s="29"/>
      <c r="U240" s="6"/>
    </row>
    <row r="241" spans="1:21" ht="16.5" customHeight="1" x14ac:dyDescent="0.25">
      <c r="A241" s="303" t="s">
        <v>285</v>
      </c>
      <c r="B241" s="305" t="s">
        <v>18</v>
      </c>
      <c r="C241" s="250">
        <v>88247</v>
      </c>
      <c r="D241" s="21" t="s">
        <v>199</v>
      </c>
      <c r="E241" s="22" t="s">
        <v>118</v>
      </c>
      <c r="F241" s="195">
        <v>0.03</v>
      </c>
      <c r="G241" s="34">
        <v>27.82</v>
      </c>
      <c r="H241" s="34"/>
      <c r="I241" s="34">
        <f>TRUNC(G241*F241,2)</f>
        <v>0.83</v>
      </c>
      <c r="J241" s="34"/>
      <c r="K241" s="34"/>
      <c r="L241" s="224"/>
      <c r="M241" s="225"/>
      <c r="N241" s="113"/>
      <c r="O241" s="225"/>
      <c r="P241" s="113"/>
      <c r="Q241" s="225"/>
      <c r="R241" s="64"/>
      <c r="S241" s="29"/>
      <c r="T241" s="29"/>
      <c r="U241" s="6"/>
    </row>
    <row r="242" spans="1:21" ht="16.5" customHeight="1" thickBot="1" x14ac:dyDescent="0.3">
      <c r="A242" s="303" t="s">
        <v>285</v>
      </c>
      <c r="B242" s="304" t="s">
        <v>18</v>
      </c>
      <c r="C242" s="250">
        <v>88264</v>
      </c>
      <c r="D242" s="21" t="s">
        <v>200</v>
      </c>
      <c r="E242" s="22" t="s">
        <v>118</v>
      </c>
      <c r="F242" s="195">
        <v>0.03</v>
      </c>
      <c r="G242" s="34">
        <v>36.72</v>
      </c>
      <c r="H242" s="34"/>
      <c r="I242" s="34">
        <f>TRUNC(G242*F242,2)</f>
        <v>1.1000000000000001</v>
      </c>
      <c r="J242" s="34"/>
      <c r="K242" s="34"/>
      <c r="L242" s="224"/>
      <c r="M242" s="225"/>
      <c r="N242" s="113"/>
      <c r="O242" s="225"/>
      <c r="P242" s="113"/>
      <c r="Q242" s="225"/>
      <c r="R242" s="64"/>
      <c r="S242" s="29"/>
      <c r="T242" s="29"/>
      <c r="U242" s="6"/>
    </row>
    <row r="243" spans="1:21" ht="16.5" customHeight="1" x14ac:dyDescent="0.25">
      <c r="A243" s="257">
        <v>7</v>
      </c>
      <c r="B243" s="298"/>
      <c r="C243" s="258"/>
      <c r="D243" s="80" t="s">
        <v>210</v>
      </c>
      <c r="E243" s="83"/>
      <c r="F243" s="339"/>
      <c r="G243" s="179"/>
      <c r="H243" s="83"/>
      <c r="I243" s="83"/>
      <c r="J243" s="104"/>
      <c r="K243" s="84">
        <f>SUM(K244:K280)</f>
        <v>4142.5</v>
      </c>
      <c r="L243" s="84">
        <f>SUM(L244:L280)</f>
        <v>9301.474400000001</v>
      </c>
      <c r="M243" s="84">
        <f>SUM(M244:M280)</f>
        <v>13439.850000000002</v>
      </c>
      <c r="N243" s="115">
        <f>$K$5</f>
        <v>0.2111176002216073</v>
      </c>
      <c r="O243" s="104"/>
      <c r="P243" s="115">
        <f>$J$5</f>
        <v>0.26838623884514634</v>
      </c>
      <c r="Q243" s="104"/>
      <c r="R243" s="84">
        <f>SUM(R244:R280)</f>
        <v>5016.9399999999996</v>
      </c>
      <c r="S243" s="84">
        <f>SUM(S244:S280)</f>
        <v>11793.420000000002</v>
      </c>
      <c r="T243" s="85">
        <f>SUM(T244:T280)</f>
        <v>16810.36</v>
      </c>
      <c r="U243" s="6"/>
    </row>
    <row r="244" spans="1:21" ht="16.5" customHeight="1" x14ac:dyDescent="0.25">
      <c r="A244" s="299" t="s">
        <v>211</v>
      </c>
      <c r="B244" s="300" t="s">
        <v>37</v>
      </c>
      <c r="C244" s="183"/>
      <c r="D244" s="19" t="s">
        <v>212</v>
      </c>
      <c r="E244" s="24" t="s">
        <v>126</v>
      </c>
      <c r="F244" s="197">
        <f>'Planilha Analítica'!F65</f>
        <v>1.0000000000000002</v>
      </c>
      <c r="G244" s="89"/>
      <c r="H244" s="92">
        <f>SUM(H245:H246)</f>
        <v>0</v>
      </c>
      <c r="I244" s="92">
        <f>SUM(I245:I246)</f>
        <v>1841.4</v>
      </c>
      <c r="J244" s="92">
        <f>I244+H244</f>
        <v>1841.4</v>
      </c>
      <c r="K244" s="92">
        <f>ROUND(H244*$F244,2)</f>
        <v>0</v>
      </c>
      <c r="L244" s="92">
        <f>ROUND(I244*$F244,2)</f>
        <v>1841.4</v>
      </c>
      <c r="M244" s="100">
        <f>L244+K244</f>
        <v>1841.4</v>
      </c>
      <c r="N244" s="112">
        <f>$K$5</f>
        <v>0.2111176002216073</v>
      </c>
      <c r="O244" s="100">
        <f>ROUND(H244*(1+$N244),2)</f>
        <v>0</v>
      </c>
      <c r="P244" s="112">
        <f>$J$5</f>
        <v>0.26838623884514634</v>
      </c>
      <c r="Q244" s="100">
        <f>ROUND(I244*(1+$P244),2)</f>
        <v>2335.61</v>
      </c>
      <c r="R244" s="28">
        <f>ROUND(O244*$F244,2)</f>
        <v>0</v>
      </c>
      <c r="S244" s="28">
        <f>ROUND(Q244*$F244,2)</f>
        <v>2335.61</v>
      </c>
      <c r="T244" s="28">
        <f>S244+R244</f>
        <v>2335.61</v>
      </c>
      <c r="U244" s="6"/>
    </row>
    <row r="245" spans="1:21" ht="16.5" customHeight="1" x14ac:dyDescent="0.25">
      <c r="A245" s="303" t="s">
        <v>285</v>
      </c>
      <c r="B245" s="304" t="s">
        <v>18</v>
      </c>
      <c r="C245" s="250">
        <v>88275</v>
      </c>
      <c r="D245" s="21" t="s">
        <v>213</v>
      </c>
      <c r="E245" s="22" t="s">
        <v>118</v>
      </c>
      <c r="F245" s="195">
        <f>(F30+F35+F40)*10</f>
        <v>30</v>
      </c>
      <c r="G245" s="34">
        <v>35.29</v>
      </c>
      <c r="H245" s="34"/>
      <c r="I245" s="34">
        <f>TRUNC(G245*F245,2)</f>
        <v>1058.7</v>
      </c>
      <c r="J245" s="34"/>
      <c r="K245" s="34"/>
      <c r="L245" s="224"/>
      <c r="M245" s="225"/>
      <c r="N245" s="113"/>
      <c r="O245" s="225"/>
      <c r="P245" s="113"/>
      <c r="Q245" s="225"/>
      <c r="R245" s="64"/>
      <c r="S245" s="29"/>
      <c r="T245" s="29"/>
      <c r="U245" s="6"/>
    </row>
    <row r="246" spans="1:21" ht="16.5" customHeight="1" x14ac:dyDescent="0.25">
      <c r="A246" s="303" t="s">
        <v>285</v>
      </c>
      <c r="B246" s="304" t="s">
        <v>18</v>
      </c>
      <c r="C246" s="250">
        <v>88250</v>
      </c>
      <c r="D246" s="21" t="s">
        <v>214</v>
      </c>
      <c r="E246" s="22" t="s">
        <v>118</v>
      </c>
      <c r="F246" s="195">
        <f>F245</f>
        <v>30</v>
      </c>
      <c r="G246" s="34">
        <v>26.09</v>
      </c>
      <c r="H246" s="34"/>
      <c r="I246" s="34">
        <f>TRUNC(G246*F246,2)</f>
        <v>782.7</v>
      </c>
      <c r="J246" s="34"/>
      <c r="K246" s="34"/>
      <c r="L246" s="224"/>
      <c r="M246" s="225"/>
      <c r="N246" s="113"/>
      <c r="O246" s="225"/>
      <c r="P246" s="113"/>
      <c r="Q246" s="225"/>
      <c r="R246" s="64"/>
      <c r="S246" s="29"/>
      <c r="T246" s="29"/>
      <c r="U246" s="6"/>
    </row>
    <row r="247" spans="1:21" ht="16.5" customHeight="1" x14ac:dyDescent="0.25">
      <c r="A247" s="299" t="s">
        <v>215</v>
      </c>
      <c r="B247" s="300" t="s">
        <v>37</v>
      </c>
      <c r="C247" s="183"/>
      <c r="D247" s="19" t="s">
        <v>216</v>
      </c>
      <c r="E247" s="24" t="s">
        <v>126</v>
      </c>
      <c r="F247" s="197">
        <f>'Planilha Analítica'!F66</f>
        <v>1.0000000000000002</v>
      </c>
      <c r="G247" s="89"/>
      <c r="H247" s="92">
        <f>SUM(H248:H249)</f>
        <v>0</v>
      </c>
      <c r="I247" s="92">
        <f>SUM(I248:I249)</f>
        <v>1933.46</v>
      </c>
      <c r="J247" s="92">
        <f>I247+H247</f>
        <v>1933.46</v>
      </c>
      <c r="K247" s="92">
        <f>ROUND(H247*$F247,2)</f>
        <v>0</v>
      </c>
      <c r="L247" s="92">
        <f>ROUND(I247*$F247,2)</f>
        <v>1933.46</v>
      </c>
      <c r="M247" s="100">
        <f>L247+K247</f>
        <v>1933.46</v>
      </c>
      <c r="N247" s="112">
        <f>$K$5</f>
        <v>0.2111176002216073</v>
      </c>
      <c r="O247" s="100">
        <f>ROUND(H247*(1+$N247),2)</f>
        <v>0</v>
      </c>
      <c r="P247" s="112">
        <f>$J$5</f>
        <v>0.26838623884514634</v>
      </c>
      <c r="Q247" s="100">
        <f>ROUND(I247*(1+$P247),2)</f>
        <v>2452.37</v>
      </c>
      <c r="R247" s="28">
        <f>ROUND(O247*$F247,2)</f>
        <v>0</v>
      </c>
      <c r="S247" s="28">
        <f>ROUND(Q247*$F247,2)</f>
        <v>2452.37</v>
      </c>
      <c r="T247" s="28">
        <f>S247+R247</f>
        <v>2452.37</v>
      </c>
      <c r="U247" s="6"/>
    </row>
    <row r="248" spans="1:21" ht="16.5" customHeight="1" x14ac:dyDescent="0.25">
      <c r="A248" s="303" t="s">
        <v>285</v>
      </c>
      <c r="B248" s="304" t="s">
        <v>18</v>
      </c>
      <c r="C248" s="250">
        <v>88275</v>
      </c>
      <c r="D248" s="21" t="s">
        <v>213</v>
      </c>
      <c r="E248" s="22" t="s">
        <v>118</v>
      </c>
      <c r="F248" s="195">
        <f>F245*1.05</f>
        <v>31.5</v>
      </c>
      <c r="G248" s="34">
        <v>35.29</v>
      </c>
      <c r="H248" s="34"/>
      <c r="I248" s="34">
        <f>TRUNC(G248*F248,2)</f>
        <v>1111.6300000000001</v>
      </c>
      <c r="J248" s="34"/>
      <c r="K248" s="34"/>
      <c r="L248" s="224"/>
      <c r="M248" s="225"/>
      <c r="N248" s="113"/>
      <c r="O248" s="225"/>
      <c r="P248" s="113"/>
      <c r="Q248" s="225"/>
      <c r="R248" s="64"/>
      <c r="S248" s="29"/>
      <c r="T248" s="29"/>
      <c r="U248" s="6"/>
    </row>
    <row r="249" spans="1:21" ht="16.5" customHeight="1" x14ac:dyDescent="0.25">
      <c r="A249" s="303" t="s">
        <v>285</v>
      </c>
      <c r="B249" s="304" t="s">
        <v>18</v>
      </c>
      <c r="C249" s="250">
        <v>88250</v>
      </c>
      <c r="D249" s="21" t="s">
        <v>214</v>
      </c>
      <c r="E249" s="22" t="s">
        <v>118</v>
      </c>
      <c r="F249" s="195">
        <f>F248</f>
        <v>31.5</v>
      </c>
      <c r="G249" s="34">
        <v>26.09</v>
      </c>
      <c r="H249" s="34"/>
      <c r="I249" s="34">
        <f>TRUNC(G249*F249,2)</f>
        <v>821.83</v>
      </c>
      <c r="J249" s="34"/>
      <c r="K249" s="34"/>
      <c r="L249" s="224"/>
      <c r="M249" s="225"/>
      <c r="N249" s="113"/>
      <c r="O249" s="225"/>
      <c r="P249" s="113"/>
      <c r="Q249" s="225"/>
      <c r="R249" s="64"/>
      <c r="S249" s="29"/>
      <c r="T249" s="29"/>
      <c r="U249" s="6"/>
    </row>
    <row r="250" spans="1:21" ht="16.5" customHeight="1" x14ac:dyDescent="0.25">
      <c r="A250" s="299" t="s">
        <v>217</v>
      </c>
      <c r="B250" s="300" t="s">
        <v>37</v>
      </c>
      <c r="C250" s="183"/>
      <c r="D250" s="19" t="s">
        <v>281</v>
      </c>
      <c r="E250" s="24" t="s">
        <v>126</v>
      </c>
      <c r="F250" s="197">
        <f>'Planilha Analítica'!F67</f>
        <v>1.0000000000000002</v>
      </c>
      <c r="G250" s="89"/>
      <c r="H250" s="173">
        <f>H251</f>
        <v>0</v>
      </c>
      <c r="I250" s="89">
        <f>I251</f>
        <v>1117.5</v>
      </c>
      <c r="J250" s="92">
        <f>I250+H250</f>
        <v>1117.5</v>
      </c>
      <c r="K250" s="92">
        <f>ROUND(H250*$F250,2)</f>
        <v>0</v>
      </c>
      <c r="L250" s="92">
        <f>ROUND(I250*$F250,2)</f>
        <v>1117.5</v>
      </c>
      <c r="M250" s="100">
        <f>L250+K250</f>
        <v>1117.5</v>
      </c>
      <c r="N250" s="112">
        <f>$K$5</f>
        <v>0.2111176002216073</v>
      </c>
      <c r="O250" s="100">
        <f>ROUND(H250*(1+$N250),2)</f>
        <v>0</v>
      </c>
      <c r="P250" s="112">
        <f>$J$5</f>
        <v>0.26838623884514634</v>
      </c>
      <c r="Q250" s="100">
        <f>ROUND(I250*(1+$P250),2)</f>
        <v>1417.42</v>
      </c>
      <c r="R250" s="28">
        <f>ROUND(O250*$F250,2)</f>
        <v>0</v>
      </c>
      <c r="S250" s="28">
        <f>ROUND(Q250*$F250,2)</f>
        <v>1417.42</v>
      </c>
      <c r="T250" s="28">
        <f>S250+R250</f>
        <v>1417.42</v>
      </c>
      <c r="U250" s="6"/>
    </row>
    <row r="251" spans="1:21" ht="16.5" customHeight="1" x14ac:dyDescent="0.25">
      <c r="A251" s="303" t="s">
        <v>285</v>
      </c>
      <c r="B251" s="305" t="s">
        <v>18</v>
      </c>
      <c r="C251" s="250">
        <v>90779</v>
      </c>
      <c r="D251" s="27" t="s">
        <v>219</v>
      </c>
      <c r="E251" s="22" t="s">
        <v>118</v>
      </c>
      <c r="F251" s="195">
        <f>F245/4</f>
        <v>7.5</v>
      </c>
      <c r="G251" s="34">
        <v>149</v>
      </c>
      <c r="H251" s="34"/>
      <c r="I251" s="34">
        <f>TRUNC(G251*F251,2)</f>
        <v>1117.5</v>
      </c>
      <c r="J251" s="34"/>
      <c r="K251" s="34"/>
      <c r="L251" s="224"/>
      <c r="M251" s="225"/>
      <c r="N251" s="113"/>
      <c r="O251" s="225"/>
      <c r="P251" s="113"/>
      <c r="Q251" s="225"/>
      <c r="R251" s="64"/>
      <c r="S251" s="29"/>
      <c r="T251" s="29"/>
      <c r="U251" s="6"/>
    </row>
    <row r="252" spans="1:21" ht="16.5" customHeight="1" x14ac:dyDescent="0.25">
      <c r="A252" s="299" t="s">
        <v>220</v>
      </c>
      <c r="B252" s="300" t="s">
        <v>37</v>
      </c>
      <c r="C252" s="183"/>
      <c r="D252" s="19" t="s">
        <v>218</v>
      </c>
      <c r="E252" s="24" t="s">
        <v>126</v>
      </c>
      <c r="F252" s="197">
        <f>'Planilha Analítica'!F68</f>
        <v>1.0000000000000002</v>
      </c>
      <c r="G252" s="89"/>
      <c r="H252" s="173">
        <f>H253</f>
        <v>0</v>
      </c>
      <c r="I252" s="89">
        <f>I253</f>
        <v>1788</v>
      </c>
      <c r="J252" s="92">
        <f>I252+H252</f>
        <v>1788</v>
      </c>
      <c r="K252" s="92">
        <f>ROUND(H252*$F252,2)</f>
        <v>0</v>
      </c>
      <c r="L252" s="92">
        <f>ROUND(I252*$F252,2)</f>
        <v>1788</v>
      </c>
      <c r="M252" s="100">
        <f>L252+K252</f>
        <v>1788</v>
      </c>
      <c r="N252" s="112">
        <f>$K$5</f>
        <v>0.2111176002216073</v>
      </c>
      <c r="O252" s="100">
        <f>ROUND(H252*(1+$N252),2)</f>
        <v>0</v>
      </c>
      <c r="P252" s="112">
        <f>$J$5</f>
        <v>0.26838623884514634</v>
      </c>
      <c r="Q252" s="100">
        <f>ROUND(I252*(1+$P252),2)</f>
        <v>2267.87</v>
      </c>
      <c r="R252" s="28">
        <f>ROUND(O252*$F252,2)</f>
        <v>0</v>
      </c>
      <c r="S252" s="28">
        <f>ROUND(Q252*$F252,2)</f>
        <v>2267.87</v>
      </c>
      <c r="T252" s="28">
        <f>S252+R252</f>
        <v>2267.87</v>
      </c>
      <c r="U252" s="6"/>
    </row>
    <row r="253" spans="1:21" ht="16.5" customHeight="1" x14ac:dyDescent="0.25">
      <c r="A253" s="303" t="s">
        <v>285</v>
      </c>
      <c r="B253" s="305" t="s">
        <v>18</v>
      </c>
      <c r="C253" s="250">
        <v>90779</v>
      </c>
      <c r="D253" s="27" t="s">
        <v>219</v>
      </c>
      <c r="E253" s="22" t="s">
        <v>118</v>
      </c>
      <c r="F253" s="195">
        <f>F245*0.4</f>
        <v>12</v>
      </c>
      <c r="G253" s="34">
        <v>149</v>
      </c>
      <c r="H253" s="34"/>
      <c r="I253" s="34">
        <f>TRUNC(G253*F253,2)</f>
        <v>1788</v>
      </c>
      <c r="J253" s="34"/>
      <c r="K253" s="34"/>
      <c r="L253" s="224"/>
      <c r="M253" s="225"/>
      <c r="N253" s="113"/>
      <c r="O253" s="225"/>
      <c r="P253" s="113"/>
      <c r="Q253" s="225"/>
      <c r="R253" s="64"/>
      <c r="S253" s="29"/>
      <c r="T253" s="29"/>
      <c r="U253" s="6"/>
    </row>
    <row r="254" spans="1:21" ht="18" customHeight="1" x14ac:dyDescent="0.25">
      <c r="A254" s="299" t="s">
        <v>221</v>
      </c>
      <c r="B254" s="300" t="s">
        <v>18</v>
      </c>
      <c r="C254" s="183">
        <v>100725</v>
      </c>
      <c r="D254" s="25" t="s">
        <v>375</v>
      </c>
      <c r="E254" s="24" t="s">
        <v>116</v>
      </c>
      <c r="F254" s="197">
        <f>'Planilha Analítica'!F69</f>
        <v>10</v>
      </c>
      <c r="G254" s="89"/>
      <c r="H254" s="92">
        <f>SUM(H255:H257)</f>
        <v>1.23</v>
      </c>
      <c r="I254" s="92">
        <f>SUM(I255:I257)</f>
        <v>26.5</v>
      </c>
      <c r="J254" s="92">
        <f>I254+H254</f>
        <v>27.73</v>
      </c>
      <c r="K254" s="92">
        <f>ROUND(H254*$F254,2)</f>
        <v>12.3</v>
      </c>
      <c r="L254" s="92">
        <f>ROUND(I254*$F254,2)</f>
        <v>265</v>
      </c>
      <c r="M254" s="100">
        <f>L254+K254</f>
        <v>277.3</v>
      </c>
      <c r="N254" s="112">
        <f>$K$5</f>
        <v>0.2111176002216073</v>
      </c>
      <c r="O254" s="100">
        <f>ROUND(H254*(1+$N254),2)</f>
        <v>1.49</v>
      </c>
      <c r="P254" s="112">
        <f>$J$5</f>
        <v>0.26838623884514634</v>
      </c>
      <c r="Q254" s="100">
        <f>ROUND(I254*(1+$P254),2)</f>
        <v>33.61</v>
      </c>
      <c r="R254" s="28">
        <f>ROUND(O254*$F254,2)</f>
        <v>14.9</v>
      </c>
      <c r="S254" s="28">
        <f>ROUND(Q254*$F254,2)</f>
        <v>336.1</v>
      </c>
      <c r="T254" s="28">
        <f>S254+R254</f>
        <v>351</v>
      </c>
      <c r="U254" s="6"/>
    </row>
    <row r="255" spans="1:21" ht="16.5" customHeight="1" x14ac:dyDescent="0.25">
      <c r="A255" s="303" t="s">
        <v>284</v>
      </c>
      <c r="B255" s="304" t="s">
        <v>18</v>
      </c>
      <c r="C255" s="268">
        <v>5318</v>
      </c>
      <c r="D255" s="27" t="s">
        <v>222</v>
      </c>
      <c r="E255" s="26" t="s">
        <v>120</v>
      </c>
      <c r="F255" s="195">
        <v>6.2399999999999997E-2</v>
      </c>
      <c r="G255" s="34">
        <v>19.78</v>
      </c>
      <c r="H255" s="93">
        <f>TRUNC(G255*F255,2)</f>
        <v>1.23</v>
      </c>
      <c r="I255" s="93"/>
      <c r="J255" s="93"/>
      <c r="K255" s="93"/>
      <c r="L255" s="224"/>
      <c r="M255" s="225"/>
      <c r="N255" s="113"/>
      <c r="O255" s="225"/>
      <c r="P255" s="113"/>
      <c r="Q255" s="225"/>
      <c r="R255" s="64"/>
      <c r="S255" s="29"/>
      <c r="T255" s="29"/>
      <c r="U255" s="6"/>
    </row>
    <row r="256" spans="1:21" ht="16.5" customHeight="1" x14ac:dyDescent="0.25">
      <c r="A256" s="303" t="s">
        <v>284</v>
      </c>
      <c r="B256" s="304" t="s">
        <v>18</v>
      </c>
      <c r="C256" s="268">
        <v>7293</v>
      </c>
      <c r="D256" s="21" t="s">
        <v>224</v>
      </c>
      <c r="E256" s="22" t="s">
        <v>120</v>
      </c>
      <c r="F256" s="195">
        <v>0.20780000000000001</v>
      </c>
      <c r="G256" s="34">
        <v>45.69</v>
      </c>
      <c r="H256" s="34"/>
      <c r="I256" s="34">
        <f>TRUNC(G256*F256,2)</f>
        <v>9.49</v>
      </c>
      <c r="J256" s="34"/>
      <c r="K256" s="34"/>
      <c r="L256" s="224"/>
      <c r="M256" s="225"/>
      <c r="N256" s="113"/>
      <c r="O256" s="225"/>
      <c r="P256" s="113"/>
      <c r="Q256" s="225"/>
      <c r="R256" s="64"/>
      <c r="S256" s="29"/>
      <c r="T256" s="29"/>
      <c r="U256" s="6"/>
    </row>
    <row r="257" spans="1:21" ht="16.5" customHeight="1" x14ac:dyDescent="0.25">
      <c r="A257" s="303" t="s">
        <v>285</v>
      </c>
      <c r="B257" s="304" t="s">
        <v>18</v>
      </c>
      <c r="C257" s="268">
        <v>88310</v>
      </c>
      <c r="D257" s="21" t="s">
        <v>225</v>
      </c>
      <c r="E257" s="22" t="s">
        <v>118</v>
      </c>
      <c r="F257" s="195">
        <v>0.52659999999999996</v>
      </c>
      <c r="G257" s="34">
        <v>32.32</v>
      </c>
      <c r="H257" s="34"/>
      <c r="I257" s="34">
        <f>TRUNC(G257*F257,2)</f>
        <v>17.010000000000002</v>
      </c>
      <c r="J257" s="34"/>
      <c r="K257" s="34"/>
      <c r="L257" s="224"/>
      <c r="M257" s="225"/>
      <c r="N257" s="113"/>
      <c r="O257" s="225"/>
      <c r="P257" s="113"/>
      <c r="Q257" s="225"/>
      <c r="R257" s="64"/>
      <c r="S257" s="29"/>
      <c r="T257" s="29"/>
      <c r="U257" s="6"/>
    </row>
    <row r="258" spans="1:21" ht="16.5" customHeight="1" x14ac:dyDescent="0.25">
      <c r="A258" s="299" t="s">
        <v>226</v>
      </c>
      <c r="B258" s="300" t="s">
        <v>37</v>
      </c>
      <c r="C258" s="183"/>
      <c r="D258" s="25" t="s">
        <v>227</v>
      </c>
      <c r="E258" s="24" t="s">
        <v>126</v>
      </c>
      <c r="F258" s="197">
        <f>'Planilha Analítica'!F70</f>
        <v>12</v>
      </c>
      <c r="G258" s="89"/>
      <c r="H258" s="92">
        <f>SUM(H259:H260)</f>
        <v>11.8</v>
      </c>
      <c r="I258" s="92">
        <f>SUM(I259:I260)</f>
        <v>6.26</v>
      </c>
      <c r="J258" s="92">
        <f>I258+H258</f>
        <v>18.060000000000002</v>
      </c>
      <c r="K258" s="92">
        <f>ROUND(H258*$F258,2)</f>
        <v>141.6</v>
      </c>
      <c r="L258" s="92">
        <f>ROUND(I258*$F258,2)</f>
        <v>75.12</v>
      </c>
      <c r="M258" s="100">
        <f>L258+K258</f>
        <v>216.72</v>
      </c>
      <c r="N258" s="112">
        <f>$K$5</f>
        <v>0.2111176002216073</v>
      </c>
      <c r="O258" s="100">
        <f>ROUND(H258*(1+$N258),2)</f>
        <v>14.29</v>
      </c>
      <c r="P258" s="112">
        <f>$J$5</f>
        <v>0.26838623884514634</v>
      </c>
      <c r="Q258" s="100">
        <f>ROUND(I258*(1+$P258),2)</f>
        <v>7.94</v>
      </c>
      <c r="R258" s="28">
        <f>ROUND(O258*$F258,2)</f>
        <v>171.48</v>
      </c>
      <c r="S258" s="28">
        <f>ROUND(Q258*$F258,2)</f>
        <v>95.28</v>
      </c>
      <c r="T258" s="28">
        <f>S258+R258</f>
        <v>266.76</v>
      </c>
      <c r="U258" s="6"/>
    </row>
    <row r="259" spans="1:21" ht="16.5" customHeight="1" x14ac:dyDescent="0.25">
      <c r="A259" s="303" t="s">
        <v>284</v>
      </c>
      <c r="B259" s="304" t="s">
        <v>21</v>
      </c>
      <c r="C259" s="250" t="s">
        <v>373</v>
      </c>
      <c r="D259" s="27" t="s">
        <v>228</v>
      </c>
      <c r="E259" s="22" t="s">
        <v>126</v>
      </c>
      <c r="F259" s="195">
        <v>1</v>
      </c>
      <c r="G259" s="34">
        <v>11.8</v>
      </c>
      <c r="H259" s="93">
        <f>TRUNC(G259*F259,2)</f>
        <v>11.8</v>
      </c>
      <c r="I259" s="93"/>
      <c r="J259" s="93"/>
      <c r="K259" s="93"/>
      <c r="L259" s="224"/>
      <c r="M259" s="225"/>
      <c r="N259" s="113"/>
      <c r="O259" s="225"/>
      <c r="P259" s="113"/>
      <c r="Q259" s="225"/>
      <c r="R259" s="64"/>
      <c r="S259" s="29"/>
      <c r="T259" s="29"/>
      <c r="U259" s="6"/>
    </row>
    <row r="260" spans="1:21" ht="16.5" customHeight="1" x14ac:dyDescent="0.25">
      <c r="A260" s="303" t="s">
        <v>285</v>
      </c>
      <c r="B260" s="304" t="s">
        <v>18</v>
      </c>
      <c r="C260" s="250">
        <v>88250</v>
      </c>
      <c r="D260" s="21" t="s">
        <v>214</v>
      </c>
      <c r="E260" s="22" t="s">
        <v>118</v>
      </c>
      <c r="F260" s="195">
        <v>0.24</v>
      </c>
      <c r="G260" s="34">
        <v>26.09</v>
      </c>
      <c r="H260" s="34"/>
      <c r="I260" s="34">
        <f>TRUNC(G260*F260,2)</f>
        <v>6.26</v>
      </c>
      <c r="J260" s="34"/>
      <c r="K260" s="34"/>
      <c r="L260" s="224"/>
      <c r="M260" s="225"/>
      <c r="N260" s="113"/>
      <c r="O260" s="225"/>
      <c r="P260" s="113"/>
      <c r="Q260" s="225"/>
      <c r="R260" s="64"/>
      <c r="S260" s="29"/>
      <c r="T260" s="29"/>
      <c r="U260" s="6"/>
    </row>
    <row r="261" spans="1:21" ht="16.5" customHeight="1" x14ac:dyDescent="0.25">
      <c r="A261" s="299" t="s">
        <v>229</v>
      </c>
      <c r="B261" s="300" t="s">
        <v>37</v>
      </c>
      <c r="C261" s="183"/>
      <c r="D261" s="25" t="s">
        <v>389</v>
      </c>
      <c r="E261" s="24" t="s">
        <v>126</v>
      </c>
      <c r="F261" s="197">
        <v>1</v>
      </c>
      <c r="G261" s="89"/>
      <c r="H261" s="92">
        <f>SUM(H262:H265)</f>
        <v>12.850000000000001</v>
      </c>
      <c r="I261" s="92">
        <f>SUM(I262:I267)</f>
        <v>4.12</v>
      </c>
      <c r="J261" s="92">
        <f>I261+H261</f>
        <v>16.970000000000002</v>
      </c>
      <c r="K261" s="92">
        <f>ROUND(H261*$F261,2)</f>
        <v>12.85</v>
      </c>
      <c r="L261" s="92">
        <f>ROUND(I261*$F261,2)</f>
        <v>4.12</v>
      </c>
      <c r="M261" s="100">
        <f>L261+K261</f>
        <v>16.97</v>
      </c>
      <c r="N261" s="112">
        <f>$K$5</f>
        <v>0.2111176002216073</v>
      </c>
      <c r="O261" s="100">
        <f>ROUND(H261*(1+$N261),2)</f>
        <v>15.56</v>
      </c>
      <c r="P261" s="112">
        <f>$J$5</f>
        <v>0.26838623884514634</v>
      </c>
      <c r="Q261" s="100">
        <f>ROUND(I261*(1+$P261),2)</f>
        <v>5.23</v>
      </c>
      <c r="R261" s="28">
        <f>ROUND(O261*$F261,2)</f>
        <v>15.56</v>
      </c>
      <c r="S261" s="28">
        <f>ROUND(Q261*$F261,2)</f>
        <v>5.23</v>
      </c>
      <c r="T261" s="28">
        <f>S261+R261</f>
        <v>20.79</v>
      </c>
      <c r="U261" s="6"/>
    </row>
    <row r="262" spans="1:21" ht="16.5" customHeight="1" x14ac:dyDescent="0.25">
      <c r="A262" s="303" t="s">
        <v>284</v>
      </c>
      <c r="B262" s="304" t="s">
        <v>341</v>
      </c>
      <c r="C262" s="228" t="s">
        <v>339</v>
      </c>
      <c r="D262" s="21" t="s">
        <v>340</v>
      </c>
      <c r="E262" s="26" t="s">
        <v>126</v>
      </c>
      <c r="F262" s="195">
        <v>1.5</v>
      </c>
      <c r="G262" s="34">
        <v>0.52</v>
      </c>
      <c r="H262" s="93">
        <f>TRUNC(G262*F262,2)</f>
        <v>0.78</v>
      </c>
      <c r="I262" s="93"/>
      <c r="J262" s="93"/>
      <c r="K262" s="93"/>
      <c r="L262" s="224"/>
      <c r="M262" s="225"/>
      <c r="N262" s="113"/>
      <c r="O262" s="225"/>
      <c r="P262" s="113"/>
      <c r="Q262" s="225"/>
      <c r="R262" s="64"/>
      <c r="S262" s="29"/>
      <c r="T262" s="29"/>
      <c r="U262" s="6"/>
    </row>
    <row r="263" spans="1:21" ht="16.5" customHeight="1" x14ac:dyDescent="0.25">
      <c r="A263" s="303" t="s">
        <v>284</v>
      </c>
      <c r="B263" s="304" t="s">
        <v>341</v>
      </c>
      <c r="C263" s="228" t="s">
        <v>334</v>
      </c>
      <c r="D263" s="21" t="s">
        <v>335</v>
      </c>
      <c r="E263" s="26" t="s">
        <v>126</v>
      </c>
      <c r="F263" s="195">
        <v>0.5</v>
      </c>
      <c r="G263" s="34">
        <v>3.93</v>
      </c>
      <c r="H263" s="93">
        <f>TRUNC(G263*F263,2)</f>
        <v>1.96</v>
      </c>
      <c r="I263" s="93"/>
      <c r="J263" s="93"/>
      <c r="K263" s="93"/>
      <c r="L263" s="224"/>
      <c r="M263" s="225"/>
      <c r="N263" s="113"/>
      <c r="O263" s="225"/>
      <c r="P263" s="113"/>
      <c r="Q263" s="225"/>
      <c r="R263" s="64"/>
      <c r="S263" s="29"/>
      <c r="T263" s="29"/>
      <c r="U263" s="6"/>
    </row>
    <row r="264" spans="1:21" ht="16.5" customHeight="1" x14ac:dyDescent="0.25">
      <c r="A264" s="303" t="s">
        <v>284</v>
      </c>
      <c r="B264" s="304" t="s">
        <v>294</v>
      </c>
      <c r="C264" s="228" t="s">
        <v>337</v>
      </c>
      <c r="D264" s="21" t="s">
        <v>338</v>
      </c>
      <c r="E264" s="26" t="s">
        <v>117</v>
      </c>
      <c r="F264" s="195">
        <v>1</v>
      </c>
      <c r="G264" s="34">
        <v>9.6300000000000008</v>
      </c>
      <c r="H264" s="93">
        <f>TRUNC(G264*F264,2)</f>
        <v>9.6300000000000008</v>
      </c>
      <c r="I264" s="34"/>
      <c r="J264" s="34"/>
      <c r="K264" s="34"/>
      <c r="L264" s="224"/>
      <c r="M264" s="225"/>
      <c r="N264" s="113"/>
      <c r="O264" s="225"/>
      <c r="P264" s="113"/>
      <c r="Q264" s="225"/>
      <c r="R264" s="64"/>
      <c r="S264" s="29"/>
      <c r="T264" s="29"/>
      <c r="U264" s="6"/>
    </row>
    <row r="265" spans="1:21" ht="16.5" customHeight="1" x14ac:dyDescent="0.25">
      <c r="A265" s="303" t="s">
        <v>284</v>
      </c>
      <c r="B265" s="304" t="s">
        <v>18</v>
      </c>
      <c r="C265" s="250">
        <v>4342</v>
      </c>
      <c r="D265" s="21" t="s">
        <v>336</v>
      </c>
      <c r="E265" s="26" t="s">
        <v>126</v>
      </c>
      <c r="F265" s="324">
        <v>2</v>
      </c>
      <c r="G265" s="47">
        <v>0.24</v>
      </c>
      <c r="H265" s="93">
        <f>TRUNC(G265*F265,2)</f>
        <v>0.48</v>
      </c>
      <c r="I265" s="34"/>
      <c r="J265" s="34"/>
      <c r="K265" s="34"/>
      <c r="L265" s="224"/>
      <c r="M265" s="225"/>
      <c r="N265" s="113"/>
      <c r="O265" s="225"/>
      <c r="P265" s="113"/>
      <c r="Q265" s="225"/>
      <c r="R265" s="64"/>
      <c r="S265" s="29"/>
      <c r="T265" s="29"/>
      <c r="U265" s="6"/>
    </row>
    <row r="266" spans="1:21" ht="16.5" customHeight="1" x14ac:dyDescent="0.25">
      <c r="A266" s="303" t="s">
        <v>285</v>
      </c>
      <c r="B266" s="304" t="s">
        <v>18</v>
      </c>
      <c r="C266" s="250">
        <v>88248</v>
      </c>
      <c r="D266" s="21" t="s">
        <v>23</v>
      </c>
      <c r="E266" s="26" t="s">
        <v>118</v>
      </c>
      <c r="F266" s="340">
        <v>7.0000000000000007E-2</v>
      </c>
      <c r="G266" s="34">
        <v>26.73</v>
      </c>
      <c r="H266" s="47"/>
      <c r="I266" s="34">
        <f>TRUNC(G266*F266,2)</f>
        <v>1.87</v>
      </c>
      <c r="J266" s="47"/>
      <c r="K266" s="47"/>
      <c r="L266" s="34">
        <f>G266*F266</f>
        <v>1.8711000000000002</v>
      </c>
      <c r="M266" s="264"/>
      <c r="N266" s="265"/>
      <c r="O266" s="264"/>
      <c r="P266" s="265"/>
      <c r="Q266" s="264"/>
      <c r="R266" s="266"/>
      <c r="S266" s="29"/>
      <c r="T266" s="29"/>
      <c r="U266" s="6"/>
    </row>
    <row r="267" spans="1:21" ht="16.5" customHeight="1" x14ac:dyDescent="0.25">
      <c r="A267" s="303" t="s">
        <v>285</v>
      </c>
      <c r="B267" s="304" t="s">
        <v>18</v>
      </c>
      <c r="C267" s="250">
        <v>88267</v>
      </c>
      <c r="D267" s="21" t="s">
        <v>24</v>
      </c>
      <c r="E267" s="26" t="s">
        <v>118</v>
      </c>
      <c r="F267" s="340">
        <v>7.0000000000000007E-2</v>
      </c>
      <c r="G267" s="34">
        <v>32.19</v>
      </c>
      <c r="H267" s="47"/>
      <c r="I267" s="34">
        <f>TRUNC(G267*F267,2)</f>
        <v>2.25</v>
      </c>
      <c r="J267" s="47"/>
      <c r="K267" s="47"/>
      <c r="L267" s="34">
        <f>G267*F267</f>
        <v>2.2532999999999999</v>
      </c>
      <c r="M267" s="264"/>
      <c r="N267" s="265"/>
      <c r="O267" s="264"/>
      <c r="P267" s="265"/>
      <c r="Q267" s="264"/>
      <c r="R267" s="266"/>
      <c r="S267" s="29"/>
      <c r="T267" s="29"/>
      <c r="U267" s="6"/>
    </row>
    <row r="268" spans="1:21" ht="30" x14ac:dyDescent="0.25">
      <c r="A268" s="299" t="s">
        <v>230</v>
      </c>
      <c r="B268" s="300" t="s">
        <v>37</v>
      </c>
      <c r="C268" s="183"/>
      <c r="D268" s="25" t="s">
        <v>403</v>
      </c>
      <c r="E268" s="24" t="s">
        <v>117</v>
      </c>
      <c r="F268" s="197">
        <f>'Planilha Analítica'!F72</f>
        <v>225</v>
      </c>
      <c r="G268" s="180"/>
      <c r="H268" s="92">
        <f>SUM(H269:H277)</f>
        <v>17.670000000000002</v>
      </c>
      <c r="I268" s="92">
        <f>SUM(I269:I277)</f>
        <v>2.93</v>
      </c>
      <c r="J268" s="92">
        <f>I268+H268</f>
        <v>20.6</v>
      </c>
      <c r="K268" s="92">
        <f>ROUND(H268*$F268,2)</f>
        <v>3975.75</v>
      </c>
      <c r="L268" s="92">
        <f>ROUND(I268*$F268,2)</f>
        <v>659.25</v>
      </c>
      <c r="M268" s="100">
        <f>L268+K268</f>
        <v>4635</v>
      </c>
      <c r="N268" s="112">
        <f>$K$5</f>
        <v>0.2111176002216073</v>
      </c>
      <c r="O268" s="100">
        <f>ROUND(H268*(1+$N268),2)</f>
        <v>21.4</v>
      </c>
      <c r="P268" s="112">
        <f>$J$5</f>
        <v>0.26838623884514634</v>
      </c>
      <c r="Q268" s="100">
        <f>ROUND(I268*(1+$P268),2)</f>
        <v>3.72</v>
      </c>
      <c r="R268" s="28">
        <f>ROUND(O268*$F268,2)</f>
        <v>4815</v>
      </c>
      <c r="S268" s="28">
        <f>ROUND(Q268*$F268,2)</f>
        <v>837</v>
      </c>
      <c r="T268" s="28">
        <f>S268+R268</f>
        <v>5652</v>
      </c>
      <c r="U268" s="6"/>
    </row>
    <row r="269" spans="1:21" ht="16.5" customHeight="1" x14ac:dyDescent="0.25">
      <c r="A269" s="303" t="s">
        <v>284</v>
      </c>
      <c r="B269" s="304" t="s">
        <v>341</v>
      </c>
      <c r="C269" s="228" t="s">
        <v>339</v>
      </c>
      <c r="D269" s="21" t="s">
        <v>340</v>
      </c>
      <c r="E269" s="26" t="s">
        <v>126</v>
      </c>
      <c r="F269" s="195">
        <v>1.5</v>
      </c>
      <c r="G269" s="34">
        <v>0.52</v>
      </c>
      <c r="H269" s="93">
        <f t="shared" ref="H269:H275" si="1">TRUNC(G269*F269,2)</f>
        <v>0.78</v>
      </c>
      <c r="I269" s="93"/>
      <c r="J269" s="93"/>
      <c r="K269" s="93"/>
      <c r="L269" s="224"/>
      <c r="M269" s="225"/>
      <c r="N269" s="113"/>
      <c r="O269" s="225"/>
      <c r="P269" s="113"/>
      <c r="Q269" s="225"/>
      <c r="R269" s="64"/>
      <c r="S269" s="29"/>
      <c r="T269" s="29"/>
      <c r="U269" s="6"/>
    </row>
    <row r="270" spans="1:21" ht="16.5" customHeight="1" x14ac:dyDescent="0.25">
      <c r="A270" s="303" t="s">
        <v>284</v>
      </c>
      <c r="B270" s="304" t="s">
        <v>341</v>
      </c>
      <c r="C270" s="228" t="s">
        <v>334</v>
      </c>
      <c r="D270" s="21" t="s">
        <v>335</v>
      </c>
      <c r="E270" s="26" t="s">
        <v>126</v>
      </c>
      <c r="F270" s="195">
        <v>0.5</v>
      </c>
      <c r="G270" s="34">
        <v>3.93</v>
      </c>
      <c r="H270" s="93">
        <f t="shared" si="1"/>
        <v>1.96</v>
      </c>
      <c r="I270" s="93"/>
      <c r="J270" s="93"/>
      <c r="K270" s="93"/>
      <c r="L270" s="224"/>
      <c r="M270" s="225"/>
      <c r="N270" s="113"/>
      <c r="O270" s="225"/>
      <c r="P270" s="113"/>
      <c r="Q270" s="225"/>
      <c r="R270" s="64"/>
      <c r="S270" s="29"/>
      <c r="T270" s="29"/>
      <c r="U270" s="6"/>
    </row>
    <row r="271" spans="1:21" ht="16.5" customHeight="1" x14ac:dyDescent="0.25">
      <c r="A271" s="303" t="s">
        <v>284</v>
      </c>
      <c r="B271" s="304" t="s">
        <v>18</v>
      </c>
      <c r="C271" s="228" t="s">
        <v>401</v>
      </c>
      <c r="D271" s="21" t="s">
        <v>402</v>
      </c>
      <c r="E271" s="26" t="s">
        <v>117</v>
      </c>
      <c r="F271" s="195">
        <v>9.5000000000000001E-2</v>
      </c>
      <c r="G271" s="34">
        <v>32.99</v>
      </c>
      <c r="H271" s="93">
        <f>TRUNC(G271*F271,2)</f>
        <v>3.13</v>
      </c>
      <c r="I271" s="93"/>
      <c r="J271" s="93"/>
      <c r="K271" s="93"/>
      <c r="L271" s="224"/>
      <c r="M271" s="225"/>
      <c r="N271" s="113"/>
      <c r="O271" s="225"/>
      <c r="P271" s="113"/>
      <c r="Q271" s="225"/>
      <c r="R271" s="64"/>
      <c r="S271" s="29"/>
      <c r="T271" s="29"/>
      <c r="U271" s="6"/>
    </row>
    <row r="272" spans="1:21" ht="16.5" customHeight="1" x14ac:dyDescent="0.25">
      <c r="A272" s="303" t="s">
        <v>284</v>
      </c>
      <c r="B272" s="304" t="s">
        <v>18</v>
      </c>
      <c r="C272" s="228">
        <v>39028</v>
      </c>
      <c r="D272" s="21" t="s">
        <v>198</v>
      </c>
      <c r="E272" s="26" t="s">
        <v>117</v>
      </c>
      <c r="F272" s="195">
        <v>9.5000000000000001E-2</v>
      </c>
      <c r="G272" s="34">
        <v>7.27</v>
      </c>
      <c r="H272" s="93">
        <f t="shared" si="1"/>
        <v>0.69</v>
      </c>
      <c r="I272" s="93"/>
      <c r="J272" s="93"/>
      <c r="K272" s="93"/>
      <c r="L272" s="224"/>
      <c r="M272" s="225"/>
      <c r="N272" s="113"/>
      <c r="O272" s="225"/>
      <c r="P272" s="113"/>
      <c r="Q272" s="225"/>
      <c r="R272" s="64"/>
      <c r="S272" s="29"/>
      <c r="T272" s="29"/>
      <c r="U272" s="6"/>
    </row>
    <row r="273" spans="1:21" ht="16.5" customHeight="1" x14ac:dyDescent="0.25">
      <c r="A273" s="303" t="s">
        <v>284</v>
      </c>
      <c r="B273" s="304" t="s">
        <v>294</v>
      </c>
      <c r="C273" s="228" t="s">
        <v>337</v>
      </c>
      <c r="D273" s="21" t="s">
        <v>338</v>
      </c>
      <c r="E273" s="26" t="s">
        <v>117</v>
      </c>
      <c r="F273" s="195">
        <v>1</v>
      </c>
      <c r="G273" s="34">
        <v>9.6300000000000008</v>
      </c>
      <c r="H273" s="93">
        <f t="shared" si="1"/>
        <v>9.6300000000000008</v>
      </c>
      <c r="I273" s="93"/>
      <c r="J273" s="93"/>
      <c r="K273" s="93"/>
      <c r="L273" s="224"/>
      <c r="M273" s="225"/>
      <c r="N273" s="113"/>
      <c r="O273" s="225"/>
      <c r="P273" s="113"/>
      <c r="Q273" s="225"/>
      <c r="R273" s="64"/>
      <c r="S273" s="29"/>
      <c r="T273" s="29"/>
      <c r="U273" s="6"/>
    </row>
    <row r="274" spans="1:21" ht="16.5" customHeight="1" x14ac:dyDescent="0.25">
      <c r="A274" s="303" t="s">
        <v>284</v>
      </c>
      <c r="B274" s="304" t="s">
        <v>18</v>
      </c>
      <c r="C274" s="228">
        <v>39132</v>
      </c>
      <c r="D274" s="21" t="s">
        <v>231</v>
      </c>
      <c r="E274" s="26" t="s">
        <v>126</v>
      </c>
      <c r="F274" s="195">
        <v>0.22500000000000001</v>
      </c>
      <c r="G274" s="34">
        <v>4.46</v>
      </c>
      <c r="H274" s="93">
        <f t="shared" si="1"/>
        <v>1</v>
      </c>
      <c r="I274" s="93"/>
      <c r="J274" s="93"/>
      <c r="K274" s="93"/>
      <c r="L274" s="224"/>
      <c r="M274" s="225"/>
      <c r="N274" s="113"/>
      <c r="O274" s="225"/>
      <c r="P274" s="113"/>
      <c r="Q274" s="225"/>
      <c r="R274" s="64"/>
      <c r="S274" s="29"/>
      <c r="T274" s="29"/>
      <c r="U274" s="6"/>
    </row>
    <row r="275" spans="1:21" ht="16.5" customHeight="1" x14ac:dyDescent="0.25">
      <c r="A275" s="303" t="s">
        <v>284</v>
      </c>
      <c r="B275" s="304" t="s">
        <v>18</v>
      </c>
      <c r="C275" s="250">
        <v>4342</v>
      </c>
      <c r="D275" s="21" t="s">
        <v>336</v>
      </c>
      <c r="E275" s="26" t="s">
        <v>126</v>
      </c>
      <c r="F275" s="324">
        <v>2</v>
      </c>
      <c r="G275" s="47">
        <v>0.24</v>
      </c>
      <c r="H275" s="93">
        <f t="shared" si="1"/>
        <v>0.48</v>
      </c>
      <c r="I275" s="93"/>
      <c r="J275" s="93"/>
      <c r="K275" s="93"/>
      <c r="L275" s="224"/>
      <c r="M275" s="225"/>
      <c r="N275" s="113"/>
      <c r="O275" s="225"/>
      <c r="P275" s="113"/>
      <c r="Q275" s="225"/>
      <c r="R275" s="64"/>
      <c r="S275" s="29"/>
      <c r="T275" s="29"/>
      <c r="U275" s="6"/>
    </row>
    <row r="276" spans="1:21" ht="16.5" customHeight="1" x14ac:dyDescent="0.25">
      <c r="A276" s="303" t="s">
        <v>285</v>
      </c>
      <c r="B276" s="304" t="s">
        <v>18</v>
      </c>
      <c r="C276" s="250">
        <v>88248</v>
      </c>
      <c r="D276" s="21" t="s">
        <v>23</v>
      </c>
      <c r="E276" s="26" t="s">
        <v>118</v>
      </c>
      <c r="F276" s="324">
        <v>0.05</v>
      </c>
      <c r="G276" s="34">
        <v>26.73</v>
      </c>
      <c r="H276" s="34"/>
      <c r="I276" s="34">
        <f>TRUNC(G276*F276,2)</f>
        <v>1.33</v>
      </c>
      <c r="J276" s="34"/>
      <c r="K276" s="34"/>
      <c r="L276" s="224"/>
      <c r="M276" s="225"/>
      <c r="N276" s="113"/>
      <c r="O276" s="225"/>
      <c r="P276" s="113"/>
      <c r="Q276" s="225"/>
      <c r="R276" s="64"/>
      <c r="S276" s="29"/>
      <c r="T276" s="29"/>
      <c r="U276" s="6"/>
    </row>
    <row r="277" spans="1:21" ht="16.5" customHeight="1" x14ac:dyDescent="0.25">
      <c r="A277" s="303" t="s">
        <v>285</v>
      </c>
      <c r="B277" s="304" t="s">
        <v>18</v>
      </c>
      <c r="C277" s="250">
        <v>88267</v>
      </c>
      <c r="D277" s="21" t="s">
        <v>24</v>
      </c>
      <c r="E277" s="26" t="s">
        <v>118</v>
      </c>
      <c r="F277" s="324">
        <v>0.05</v>
      </c>
      <c r="G277" s="34">
        <v>32.19</v>
      </c>
      <c r="H277" s="34"/>
      <c r="I277" s="34">
        <f>TRUNC(G277*F277,2)</f>
        <v>1.6</v>
      </c>
      <c r="J277" s="34"/>
      <c r="K277" s="34"/>
      <c r="L277" s="224"/>
      <c r="M277" s="225"/>
      <c r="N277" s="113"/>
      <c r="O277" s="225"/>
      <c r="P277" s="113"/>
      <c r="Q277" s="225"/>
      <c r="R277" s="64"/>
      <c r="S277" s="29"/>
      <c r="T277" s="29"/>
      <c r="U277" s="6"/>
    </row>
    <row r="278" spans="1:21" ht="16.5" customHeight="1" x14ac:dyDescent="0.25">
      <c r="A278" s="347" t="s">
        <v>232</v>
      </c>
      <c r="B278" s="313" t="s">
        <v>37</v>
      </c>
      <c r="C278" s="255"/>
      <c r="D278" s="171" t="s">
        <v>388</v>
      </c>
      <c r="E278" s="24" t="s">
        <v>352</v>
      </c>
      <c r="F278" s="341">
        <f>'Planilha Analítica'!F73</f>
        <v>1.0000000000000002</v>
      </c>
      <c r="G278" s="180"/>
      <c r="H278" s="173">
        <f>SUM(H279:H280)</f>
        <v>0</v>
      </c>
      <c r="I278" s="173">
        <f>SUM(I279:I280)</f>
        <v>1613.5</v>
      </c>
      <c r="J278" s="92">
        <f>I278+H278</f>
        <v>1613.5</v>
      </c>
      <c r="K278" s="92">
        <f>ROUND(H278*$F278,2)</f>
        <v>0</v>
      </c>
      <c r="L278" s="92">
        <f>ROUND(I278*$F278,2)</f>
        <v>1613.5</v>
      </c>
      <c r="M278" s="100">
        <f>L278+K278</f>
        <v>1613.5</v>
      </c>
      <c r="N278" s="112">
        <f>$K$5</f>
        <v>0.2111176002216073</v>
      </c>
      <c r="O278" s="100">
        <f>ROUND(H278*(1+$N278),2)</f>
        <v>0</v>
      </c>
      <c r="P278" s="112">
        <f>$J$5</f>
        <v>0.26838623884514634</v>
      </c>
      <c r="Q278" s="100">
        <f>ROUND(I278*(1+$P278),2)</f>
        <v>2046.54</v>
      </c>
      <c r="R278" s="28">
        <f>ROUND(O278*$F278,2)</f>
        <v>0</v>
      </c>
      <c r="S278" s="28">
        <f>ROUND(Q278*$F278,2)</f>
        <v>2046.54</v>
      </c>
      <c r="T278" s="28">
        <f>S278+R278</f>
        <v>2046.54</v>
      </c>
      <c r="U278" s="6"/>
    </row>
    <row r="279" spans="1:21" ht="16.5" customHeight="1" x14ac:dyDescent="0.25">
      <c r="A279" s="303" t="s">
        <v>285</v>
      </c>
      <c r="B279" s="305" t="s">
        <v>18</v>
      </c>
      <c r="C279" s="250">
        <v>88247</v>
      </c>
      <c r="D279" s="21" t="s">
        <v>199</v>
      </c>
      <c r="E279" s="22" t="s">
        <v>118</v>
      </c>
      <c r="F279" s="195">
        <v>25</v>
      </c>
      <c r="G279" s="34">
        <v>27.82</v>
      </c>
      <c r="H279" s="34"/>
      <c r="I279" s="34">
        <f>TRUNC(G279*F279,2)</f>
        <v>695.5</v>
      </c>
      <c r="J279" s="34"/>
      <c r="K279" s="34"/>
      <c r="L279" s="224"/>
      <c r="M279" s="225"/>
      <c r="N279" s="113"/>
      <c r="O279" s="225"/>
      <c r="P279" s="113"/>
      <c r="Q279" s="225"/>
      <c r="R279" s="64"/>
      <c r="S279" s="29"/>
      <c r="T279" s="29"/>
      <c r="U279" s="6"/>
    </row>
    <row r="280" spans="1:21" ht="16.5" customHeight="1" thickBot="1" x14ac:dyDescent="0.3">
      <c r="A280" s="301" t="s">
        <v>285</v>
      </c>
      <c r="B280" s="304" t="s">
        <v>18</v>
      </c>
      <c r="C280" s="250">
        <v>88264</v>
      </c>
      <c r="D280" s="21" t="s">
        <v>200</v>
      </c>
      <c r="E280" s="22" t="s">
        <v>118</v>
      </c>
      <c r="F280" s="195">
        <v>25</v>
      </c>
      <c r="G280" s="34">
        <v>36.72</v>
      </c>
      <c r="H280" s="34"/>
      <c r="I280" s="34">
        <f>TRUNC(G280*F280,2)</f>
        <v>918</v>
      </c>
      <c r="J280" s="34"/>
      <c r="K280" s="34"/>
      <c r="L280" s="224"/>
      <c r="M280" s="225"/>
      <c r="N280" s="113"/>
      <c r="O280" s="225"/>
      <c r="P280" s="113"/>
      <c r="Q280" s="225"/>
      <c r="R280" s="64"/>
      <c r="S280" s="29"/>
      <c r="T280" s="29"/>
      <c r="U280" s="6"/>
    </row>
    <row r="281" spans="1:21" ht="16.5" customHeight="1" x14ac:dyDescent="0.25">
      <c r="A281" s="257">
        <v>8</v>
      </c>
      <c r="B281" s="298"/>
      <c r="C281" s="258"/>
      <c r="D281" s="80" t="s">
        <v>233</v>
      </c>
      <c r="E281" s="83"/>
      <c r="F281" s="339"/>
      <c r="G281" s="179"/>
      <c r="H281" s="83"/>
      <c r="I281" s="83"/>
      <c r="J281" s="104"/>
      <c r="K281" s="84">
        <f>SUM(K282:K341)</f>
        <v>11364.65</v>
      </c>
      <c r="L281" s="85">
        <f>SUM(L282:L341)</f>
        <v>7823.5700000000006</v>
      </c>
      <c r="M281" s="81">
        <f>L281+K281</f>
        <v>19188.22</v>
      </c>
      <c r="N281" s="115">
        <f>$K$5</f>
        <v>0.2111176002216073</v>
      </c>
      <c r="O281" s="104"/>
      <c r="P281" s="115">
        <f>$J$5</f>
        <v>0.26838623884514634</v>
      </c>
      <c r="Q281" s="104"/>
      <c r="R281" s="84">
        <f>SUM(R282:R341)</f>
        <v>13763.960000000001</v>
      </c>
      <c r="S281" s="85">
        <f>SUM(S282:S341)</f>
        <v>9923.69</v>
      </c>
      <c r="T281" s="82">
        <f>S281+R281</f>
        <v>23687.65</v>
      </c>
      <c r="U281" s="6"/>
    </row>
    <row r="282" spans="1:21" ht="30" x14ac:dyDescent="0.25">
      <c r="A282" s="299" t="s">
        <v>234</v>
      </c>
      <c r="B282" s="300" t="s">
        <v>18</v>
      </c>
      <c r="C282" s="183">
        <v>97096</v>
      </c>
      <c r="D282" s="25" t="s">
        <v>451</v>
      </c>
      <c r="E282" s="24" t="s">
        <v>119</v>
      </c>
      <c r="F282" s="197">
        <f>'Planilha Analítica'!F75</f>
        <v>2.5</v>
      </c>
      <c r="G282" s="89"/>
      <c r="H282" s="92">
        <f>SUM(H283:H287)</f>
        <v>523.4</v>
      </c>
      <c r="I282" s="92">
        <f>SUM(I283:I287)</f>
        <v>22.46</v>
      </c>
      <c r="J282" s="92">
        <f>I282+H282</f>
        <v>545.86</v>
      </c>
      <c r="K282" s="92">
        <f>ROUND(H282*$F282,2)</f>
        <v>1308.5</v>
      </c>
      <c r="L282" s="92">
        <f>ROUND(I282*$F282,2)</f>
        <v>56.15</v>
      </c>
      <c r="M282" s="100">
        <f>L282+K282</f>
        <v>1364.65</v>
      </c>
      <c r="N282" s="112">
        <f>$K$5</f>
        <v>0.2111176002216073</v>
      </c>
      <c r="O282" s="100">
        <f>ROUND(H282*(1+$N282),2)</f>
        <v>633.9</v>
      </c>
      <c r="P282" s="112">
        <f>$J$5</f>
        <v>0.26838623884514634</v>
      </c>
      <c r="Q282" s="100">
        <f>ROUND(I282*(1+$P282),2)</f>
        <v>28.49</v>
      </c>
      <c r="R282" s="28">
        <f>ROUND(O282*$F282,2)</f>
        <v>1584.75</v>
      </c>
      <c r="S282" s="28">
        <f>ROUND(Q282*$F282,2)</f>
        <v>71.23</v>
      </c>
      <c r="T282" s="28">
        <f>S282+R282</f>
        <v>1655.98</v>
      </c>
      <c r="U282" s="6"/>
    </row>
    <row r="283" spans="1:21" ht="16.5" customHeight="1" x14ac:dyDescent="0.25">
      <c r="A283" s="303" t="s">
        <v>284</v>
      </c>
      <c r="B283" s="304" t="s">
        <v>18</v>
      </c>
      <c r="C283" s="268">
        <v>1525</v>
      </c>
      <c r="D283" s="45" t="s">
        <v>111</v>
      </c>
      <c r="E283" s="22" t="s">
        <v>119</v>
      </c>
      <c r="F283" s="195">
        <v>1.06</v>
      </c>
      <c r="G283" s="34">
        <v>493.7</v>
      </c>
      <c r="H283" s="93">
        <f>TRUNC(G283*F283,2)</f>
        <v>523.32000000000005</v>
      </c>
      <c r="I283" s="93"/>
      <c r="J283" s="93"/>
      <c r="K283" s="93"/>
      <c r="L283" s="224"/>
      <c r="M283" s="225"/>
      <c r="N283" s="113"/>
      <c r="O283" s="225"/>
      <c r="P283" s="113"/>
      <c r="Q283" s="225"/>
      <c r="R283" s="64"/>
      <c r="S283" s="29"/>
      <c r="T283" s="29"/>
      <c r="U283" s="6"/>
    </row>
    <row r="284" spans="1:21" ht="16.5" customHeight="1" x14ac:dyDescent="0.25">
      <c r="A284" s="303" t="s">
        <v>285</v>
      </c>
      <c r="B284" s="304" t="s">
        <v>18</v>
      </c>
      <c r="C284" s="268">
        <v>88309</v>
      </c>
      <c r="D284" s="27" t="s">
        <v>27</v>
      </c>
      <c r="E284" s="26" t="s">
        <v>118</v>
      </c>
      <c r="F284" s="195">
        <v>0.41099999999999998</v>
      </c>
      <c r="G284" s="34">
        <v>29.24</v>
      </c>
      <c r="H284" s="34"/>
      <c r="I284" s="34">
        <f>TRUNC(G284*F284,2)</f>
        <v>12.01</v>
      </c>
      <c r="J284" s="34"/>
      <c r="K284" s="34"/>
      <c r="L284" s="224"/>
      <c r="M284" s="225"/>
      <c r="N284" s="113"/>
      <c r="O284" s="225"/>
      <c r="P284" s="113"/>
      <c r="Q284" s="225"/>
      <c r="R284" s="64"/>
      <c r="S284" s="29"/>
      <c r="T284" s="29"/>
      <c r="U284" s="6"/>
    </row>
    <row r="285" spans="1:21" ht="16.5" customHeight="1" x14ac:dyDescent="0.25">
      <c r="A285" s="303" t="s">
        <v>285</v>
      </c>
      <c r="B285" s="304" t="s">
        <v>18</v>
      </c>
      <c r="C285" s="268">
        <v>88316</v>
      </c>
      <c r="D285" s="27" t="s">
        <v>28</v>
      </c>
      <c r="E285" s="26" t="s">
        <v>118</v>
      </c>
      <c r="F285" s="195">
        <v>0.41099999999999998</v>
      </c>
      <c r="G285" s="34">
        <v>25.43</v>
      </c>
      <c r="H285" s="34"/>
      <c r="I285" s="34">
        <f>TRUNC(G285*F285,2)</f>
        <v>10.45</v>
      </c>
      <c r="J285" s="34"/>
      <c r="K285" s="34"/>
      <c r="L285" s="224"/>
      <c r="M285" s="225"/>
      <c r="N285" s="113"/>
      <c r="O285" s="225"/>
      <c r="P285" s="113"/>
      <c r="Q285" s="225"/>
      <c r="R285" s="64"/>
      <c r="S285" s="29"/>
      <c r="T285" s="29"/>
      <c r="U285" s="6"/>
    </row>
    <row r="286" spans="1:21" ht="16.5" customHeight="1" x14ac:dyDescent="0.25">
      <c r="A286" s="303" t="s">
        <v>285</v>
      </c>
      <c r="B286" s="304" t="s">
        <v>18</v>
      </c>
      <c r="C286" s="268">
        <v>90586</v>
      </c>
      <c r="D286" s="27" t="s">
        <v>345</v>
      </c>
      <c r="E286" s="26" t="s">
        <v>128</v>
      </c>
      <c r="F286" s="195">
        <v>5.2999999999999999E-2</v>
      </c>
      <c r="G286" s="34">
        <v>1.25</v>
      </c>
      <c r="H286" s="93">
        <f>TRUNC(G286*F286,2)</f>
        <v>0.06</v>
      </c>
      <c r="I286" s="34"/>
      <c r="J286" s="34"/>
      <c r="K286" s="34"/>
      <c r="L286" s="224"/>
      <c r="M286" s="225"/>
      <c r="N286" s="113"/>
      <c r="O286" s="225"/>
      <c r="P286" s="113"/>
      <c r="Q286" s="225"/>
      <c r="R286" s="64"/>
      <c r="S286" s="29"/>
      <c r="T286" s="29"/>
      <c r="U286" s="6"/>
    </row>
    <row r="287" spans="1:21" ht="16.5" customHeight="1" x14ac:dyDescent="0.25">
      <c r="A287" s="303" t="s">
        <v>285</v>
      </c>
      <c r="B287" s="304" t="s">
        <v>18</v>
      </c>
      <c r="C287" s="268">
        <v>90587</v>
      </c>
      <c r="D287" s="27" t="s">
        <v>346</v>
      </c>
      <c r="E287" s="26" t="s">
        <v>129</v>
      </c>
      <c r="F287" s="195">
        <v>4.9000000000000002E-2</v>
      </c>
      <c r="G287" s="34">
        <v>0.51</v>
      </c>
      <c r="H287" s="93">
        <f>TRUNC(G287*F287,2)</f>
        <v>0.02</v>
      </c>
      <c r="I287" s="34"/>
      <c r="J287" s="34"/>
      <c r="K287" s="34"/>
      <c r="L287" s="224"/>
      <c r="M287" s="225"/>
      <c r="N287" s="113"/>
      <c r="O287" s="225"/>
      <c r="P287" s="113"/>
      <c r="Q287" s="225"/>
      <c r="R287" s="64"/>
      <c r="S287" s="29"/>
      <c r="T287" s="29"/>
      <c r="U287" s="6"/>
    </row>
    <row r="288" spans="1:21" x14ac:dyDescent="0.25">
      <c r="A288" s="299" t="s">
        <v>235</v>
      </c>
      <c r="B288" s="300" t="s">
        <v>18</v>
      </c>
      <c r="C288" s="183">
        <v>92265</v>
      </c>
      <c r="D288" s="25" t="s">
        <v>236</v>
      </c>
      <c r="E288" s="24" t="s">
        <v>116</v>
      </c>
      <c r="F288" s="197">
        <f>'Planilha Analítica'!F76</f>
        <v>12.5</v>
      </c>
      <c r="G288" s="89"/>
      <c r="H288" s="92">
        <f>SUM(H289:H296)</f>
        <v>76.899999999999991</v>
      </c>
      <c r="I288" s="92">
        <f>SUM(I289:I296)</f>
        <v>31.79</v>
      </c>
      <c r="J288" s="92">
        <f>I288+H288</f>
        <v>108.69</v>
      </c>
      <c r="K288" s="92">
        <f>ROUND(H288*$F288,2)</f>
        <v>961.25</v>
      </c>
      <c r="L288" s="92">
        <f>ROUND(I288*$F288,2)</f>
        <v>397.38</v>
      </c>
      <c r="M288" s="100">
        <f>L288+K288</f>
        <v>1358.63</v>
      </c>
      <c r="N288" s="112">
        <f>$K$5</f>
        <v>0.2111176002216073</v>
      </c>
      <c r="O288" s="100">
        <f>ROUND(H288*(1+$N288),2)</f>
        <v>93.13</v>
      </c>
      <c r="P288" s="112">
        <f>$J$5</f>
        <v>0.26838623884514634</v>
      </c>
      <c r="Q288" s="100">
        <f>ROUND(I288*(1+$P288),2)</f>
        <v>40.32</v>
      </c>
      <c r="R288" s="28">
        <f>ROUND(O288*$F288,2)</f>
        <v>1164.1300000000001</v>
      </c>
      <c r="S288" s="28">
        <f>ROUND(Q288*$F288,2)</f>
        <v>504</v>
      </c>
      <c r="T288" s="28">
        <f>S288+R288</f>
        <v>1668.13</v>
      </c>
      <c r="U288" s="6"/>
    </row>
    <row r="289" spans="1:21" ht="16.5" customHeight="1" x14ac:dyDescent="0.25">
      <c r="A289" s="303" t="s">
        <v>284</v>
      </c>
      <c r="B289" s="304" t="s">
        <v>18</v>
      </c>
      <c r="C289" s="235">
        <v>1358</v>
      </c>
      <c r="D289" s="21" t="s">
        <v>286</v>
      </c>
      <c r="E289" s="26" t="s">
        <v>116</v>
      </c>
      <c r="F289" s="195">
        <v>1.1459999999999999</v>
      </c>
      <c r="G289" s="34">
        <v>40.46</v>
      </c>
      <c r="H289" s="93">
        <f>TRUNC(G289*F289,2)</f>
        <v>46.36</v>
      </c>
      <c r="I289" s="93"/>
      <c r="J289" s="93"/>
      <c r="K289" s="93"/>
      <c r="L289" s="224"/>
      <c r="M289" s="225"/>
      <c r="N289" s="113"/>
      <c r="O289" s="225"/>
      <c r="P289" s="113"/>
      <c r="Q289" s="225"/>
      <c r="R289" s="64"/>
      <c r="S289" s="29"/>
      <c r="T289" s="29"/>
      <c r="U289" s="6"/>
    </row>
    <row r="290" spans="1:21" ht="16.5" customHeight="1" x14ac:dyDescent="0.25">
      <c r="A290" s="303" t="s">
        <v>284</v>
      </c>
      <c r="B290" s="304" t="s">
        <v>18</v>
      </c>
      <c r="C290" s="235">
        <v>4491</v>
      </c>
      <c r="D290" s="21" t="s">
        <v>287</v>
      </c>
      <c r="E290" s="26" t="s">
        <v>117</v>
      </c>
      <c r="F290" s="195">
        <v>0.16600000000000001</v>
      </c>
      <c r="G290" s="34">
        <v>7.75</v>
      </c>
      <c r="H290" s="93">
        <f>TRUNC(G290*F290,2)</f>
        <v>1.28</v>
      </c>
      <c r="I290" s="93"/>
      <c r="J290" s="93"/>
      <c r="K290" s="93"/>
      <c r="L290" s="224"/>
      <c r="M290" s="225"/>
      <c r="N290" s="113"/>
      <c r="O290" s="225"/>
      <c r="P290" s="113"/>
      <c r="Q290" s="225"/>
      <c r="R290" s="64"/>
      <c r="S290" s="29"/>
      <c r="T290" s="29"/>
      <c r="U290" s="6"/>
    </row>
    <row r="291" spans="1:21" ht="16.5" customHeight="1" x14ac:dyDescent="0.25">
      <c r="A291" s="303" t="s">
        <v>284</v>
      </c>
      <c r="B291" s="304" t="s">
        <v>18</v>
      </c>
      <c r="C291" s="235">
        <v>4517</v>
      </c>
      <c r="D291" s="21" t="s">
        <v>288</v>
      </c>
      <c r="E291" s="26" t="s">
        <v>117</v>
      </c>
      <c r="F291" s="195">
        <v>6.952</v>
      </c>
      <c r="G291" s="34">
        <v>2.71</v>
      </c>
      <c r="H291" s="93">
        <f>TRUNC(G291*F291,2)</f>
        <v>18.829999999999998</v>
      </c>
      <c r="I291" s="93"/>
      <c r="J291" s="93"/>
      <c r="K291" s="93"/>
      <c r="L291" s="224"/>
      <c r="M291" s="225"/>
      <c r="N291" s="113"/>
      <c r="O291" s="225"/>
      <c r="P291" s="113"/>
      <c r="Q291" s="225"/>
      <c r="R291" s="64"/>
      <c r="S291" s="29"/>
      <c r="T291" s="29"/>
      <c r="U291" s="6"/>
    </row>
    <row r="292" spans="1:21" ht="16.5" customHeight="1" x14ac:dyDescent="0.25">
      <c r="A292" s="303" t="s">
        <v>284</v>
      </c>
      <c r="B292" s="304" t="s">
        <v>18</v>
      </c>
      <c r="C292" s="235">
        <v>5068</v>
      </c>
      <c r="D292" s="21" t="s">
        <v>237</v>
      </c>
      <c r="E292" s="26" t="s">
        <v>121</v>
      </c>
      <c r="F292" s="195">
        <v>0.159</v>
      </c>
      <c r="G292" s="34">
        <v>14.63</v>
      </c>
      <c r="H292" s="93">
        <f>TRUNC(G292*F292,2)</f>
        <v>2.3199999999999998</v>
      </c>
      <c r="I292" s="93"/>
      <c r="J292" s="93"/>
      <c r="K292" s="93"/>
      <c r="L292" s="224"/>
      <c r="M292" s="225"/>
      <c r="N292" s="113"/>
      <c r="O292" s="225"/>
      <c r="P292" s="113"/>
      <c r="Q292" s="225"/>
      <c r="R292" s="64"/>
      <c r="S292" s="29"/>
      <c r="T292" s="29"/>
      <c r="U292" s="6"/>
    </row>
    <row r="293" spans="1:21" ht="16.5" customHeight="1" x14ac:dyDescent="0.25">
      <c r="A293" s="303" t="s">
        <v>285</v>
      </c>
      <c r="B293" s="304" t="s">
        <v>18</v>
      </c>
      <c r="C293" s="235">
        <v>88239</v>
      </c>
      <c r="D293" s="21" t="s">
        <v>238</v>
      </c>
      <c r="E293" s="26" t="s">
        <v>118</v>
      </c>
      <c r="F293" s="195">
        <v>0.20200000000000001</v>
      </c>
      <c r="G293" s="34">
        <v>27.21</v>
      </c>
      <c r="H293" s="93"/>
      <c r="I293" s="34">
        <f>TRUNC(G293*F293,2)</f>
        <v>5.49</v>
      </c>
      <c r="J293" s="93"/>
      <c r="K293" s="93"/>
      <c r="L293" s="224"/>
      <c r="M293" s="225"/>
      <c r="N293" s="113"/>
      <c r="O293" s="225"/>
      <c r="P293" s="113"/>
      <c r="Q293" s="225"/>
      <c r="R293" s="64"/>
      <c r="S293" s="29"/>
      <c r="T293" s="29"/>
      <c r="U293" s="6"/>
    </row>
    <row r="294" spans="1:21" ht="16.5" customHeight="1" x14ac:dyDescent="0.25">
      <c r="A294" s="303" t="s">
        <v>285</v>
      </c>
      <c r="B294" s="304" t="s">
        <v>18</v>
      </c>
      <c r="C294" s="235">
        <v>88262</v>
      </c>
      <c r="D294" s="21" t="s">
        <v>70</v>
      </c>
      <c r="E294" s="26" t="s">
        <v>118</v>
      </c>
      <c r="F294" s="195">
        <v>0.91100000000000003</v>
      </c>
      <c r="G294" s="34">
        <v>28.87</v>
      </c>
      <c r="H294" s="93"/>
      <c r="I294" s="34">
        <f>TRUNC(G294*F294,2)</f>
        <v>26.3</v>
      </c>
      <c r="J294" s="93"/>
      <c r="K294" s="93"/>
      <c r="L294" s="224"/>
      <c r="M294" s="225"/>
      <c r="N294" s="113"/>
      <c r="O294" s="225"/>
      <c r="P294" s="113"/>
      <c r="Q294" s="225"/>
      <c r="R294" s="64"/>
      <c r="S294" s="29"/>
      <c r="T294" s="29"/>
      <c r="U294" s="6"/>
    </row>
    <row r="295" spans="1:21" ht="16.5" customHeight="1" x14ac:dyDescent="0.25">
      <c r="A295" s="303" t="s">
        <v>285</v>
      </c>
      <c r="B295" s="304" t="s">
        <v>18</v>
      </c>
      <c r="C295" s="235">
        <v>91692</v>
      </c>
      <c r="D295" s="21" t="s">
        <v>347</v>
      </c>
      <c r="E295" s="26" t="s">
        <v>128</v>
      </c>
      <c r="F295" s="195">
        <v>0.05</v>
      </c>
      <c r="G295" s="34">
        <v>29.24</v>
      </c>
      <c r="H295" s="93">
        <f>TRUNC(G295*F295,2)</f>
        <v>1.46</v>
      </c>
      <c r="I295" s="93"/>
      <c r="J295" s="93"/>
      <c r="K295" s="93"/>
      <c r="L295" s="224"/>
      <c r="M295" s="225"/>
      <c r="N295" s="113"/>
      <c r="O295" s="225"/>
      <c r="P295" s="113"/>
      <c r="Q295" s="225"/>
      <c r="R295" s="64"/>
      <c r="S295" s="29"/>
      <c r="T295" s="29"/>
      <c r="U295" s="6"/>
    </row>
    <row r="296" spans="1:21" ht="16.5" customHeight="1" x14ac:dyDescent="0.25">
      <c r="A296" s="303" t="s">
        <v>285</v>
      </c>
      <c r="B296" s="304" t="s">
        <v>18</v>
      </c>
      <c r="C296" s="268">
        <v>91693</v>
      </c>
      <c r="D296" s="21" t="s">
        <v>348</v>
      </c>
      <c r="E296" s="26" t="s">
        <v>129</v>
      </c>
      <c r="F296" s="324">
        <v>0.23699999999999999</v>
      </c>
      <c r="G296" s="47">
        <v>28.1</v>
      </c>
      <c r="H296" s="93">
        <f>TRUNC(G296*F296,2)</f>
        <v>6.65</v>
      </c>
      <c r="I296" s="93"/>
      <c r="J296" s="93"/>
      <c r="K296" s="93"/>
      <c r="L296" s="224"/>
      <c r="M296" s="225"/>
      <c r="N296" s="113"/>
      <c r="O296" s="225"/>
      <c r="P296" s="113"/>
      <c r="Q296" s="225"/>
      <c r="R296" s="64"/>
      <c r="S296" s="29"/>
      <c r="T296" s="29"/>
      <c r="U296" s="6"/>
    </row>
    <row r="297" spans="1:21" ht="16.5" customHeight="1" x14ac:dyDescent="0.25">
      <c r="A297" s="299" t="s">
        <v>239</v>
      </c>
      <c r="B297" s="300" t="s">
        <v>18</v>
      </c>
      <c r="C297" s="183">
        <v>92772</v>
      </c>
      <c r="D297" s="25" t="s">
        <v>240</v>
      </c>
      <c r="E297" s="24" t="s">
        <v>121</v>
      </c>
      <c r="F297" s="197">
        <f>'Planilha Analítica'!F77</f>
        <v>90</v>
      </c>
      <c r="G297" s="89"/>
      <c r="H297" s="92">
        <f>SUM(H298:H302)</f>
        <v>7.9700000000000006</v>
      </c>
      <c r="I297" s="92">
        <f>SUM(I298:I302)</f>
        <v>0.47</v>
      </c>
      <c r="J297" s="92">
        <f>I297+H297</f>
        <v>8.4400000000000013</v>
      </c>
      <c r="K297" s="92">
        <f>ROUND(H297*$F297,2)</f>
        <v>717.3</v>
      </c>
      <c r="L297" s="92">
        <f>ROUND(I297*$F297,2)</f>
        <v>42.3</v>
      </c>
      <c r="M297" s="100">
        <f>L297+K297</f>
        <v>759.59999999999991</v>
      </c>
      <c r="N297" s="112">
        <f>$K$5</f>
        <v>0.2111176002216073</v>
      </c>
      <c r="O297" s="100">
        <f>ROUND(H297*(1+$N297),2)</f>
        <v>9.65</v>
      </c>
      <c r="P297" s="112">
        <f>$J$5</f>
        <v>0.26838623884514634</v>
      </c>
      <c r="Q297" s="100">
        <f>ROUND(I297*(1+$P297),2)</f>
        <v>0.6</v>
      </c>
      <c r="R297" s="28">
        <f>ROUND(O297*$F297,2)</f>
        <v>868.5</v>
      </c>
      <c r="S297" s="28">
        <f>ROUND(Q297*$F297,2)</f>
        <v>54</v>
      </c>
      <c r="T297" s="28">
        <f>S297+R297</f>
        <v>922.5</v>
      </c>
      <c r="U297" s="6"/>
    </row>
    <row r="298" spans="1:21" ht="16.5" customHeight="1" x14ac:dyDescent="0.25">
      <c r="A298" s="303" t="s">
        <v>284</v>
      </c>
      <c r="B298" s="304" t="s">
        <v>18</v>
      </c>
      <c r="C298" s="235">
        <v>39017</v>
      </c>
      <c r="D298" s="21" t="s">
        <v>241</v>
      </c>
      <c r="E298" s="26" t="s">
        <v>126</v>
      </c>
      <c r="F298" s="195">
        <v>0.14699999999999999</v>
      </c>
      <c r="G298" s="34">
        <v>0.22</v>
      </c>
      <c r="H298" s="93">
        <f>TRUNC(G298*F298,2)</f>
        <v>0.03</v>
      </c>
      <c r="I298" s="93"/>
      <c r="J298" s="93"/>
      <c r="K298" s="93"/>
      <c r="L298" s="224"/>
      <c r="M298" s="225"/>
      <c r="N298" s="113"/>
      <c r="O298" s="225"/>
      <c r="P298" s="113"/>
      <c r="Q298" s="225"/>
      <c r="R298" s="64"/>
      <c r="S298" s="29"/>
      <c r="T298" s="29"/>
      <c r="U298" s="6"/>
    </row>
    <row r="299" spans="1:21" ht="16.5" customHeight="1" x14ac:dyDescent="0.25">
      <c r="A299" s="303" t="s">
        <v>284</v>
      </c>
      <c r="B299" s="304" t="s">
        <v>18</v>
      </c>
      <c r="C299" s="235">
        <v>43132</v>
      </c>
      <c r="D299" s="21" t="s">
        <v>242</v>
      </c>
      <c r="E299" s="26" t="s">
        <v>121</v>
      </c>
      <c r="F299" s="195">
        <v>2.5000000000000001E-2</v>
      </c>
      <c r="G299" s="34">
        <v>16.5</v>
      </c>
      <c r="H299" s="93">
        <f>TRUNC(G299*F299,2)</f>
        <v>0.41</v>
      </c>
      <c r="I299" s="93"/>
      <c r="J299" s="93"/>
      <c r="K299" s="93"/>
      <c r="L299" s="224"/>
      <c r="M299" s="225"/>
      <c r="N299" s="113"/>
      <c r="O299" s="225"/>
      <c r="P299" s="113"/>
      <c r="Q299" s="225"/>
      <c r="R299" s="64"/>
      <c r="S299" s="29"/>
      <c r="T299" s="29"/>
      <c r="U299" s="6"/>
    </row>
    <row r="300" spans="1:21" ht="16.5" customHeight="1" x14ac:dyDescent="0.25">
      <c r="A300" s="303" t="s">
        <v>285</v>
      </c>
      <c r="B300" s="304" t="s">
        <v>18</v>
      </c>
      <c r="C300" s="235">
        <v>88238</v>
      </c>
      <c r="D300" s="21" t="s">
        <v>243</v>
      </c>
      <c r="E300" s="26" t="s">
        <v>118</v>
      </c>
      <c r="F300" s="195">
        <v>2.3E-3</v>
      </c>
      <c r="G300" s="34">
        <v>27.28</v>
      </c>
      <c r="H300" s="93"/>
      <c r="I300" s="34">
        <f>TRUNC(G300*F300,2)</f>
        <v>0.06</v>
      </c>
      <c r="J300" s="93"/>
      <c r="K300" s="93"/>
      <c r="L300" s="224"/>
      <c r="M300" s="225"/>
      <c r="N300" s="113"/>
      <c r="O300" s="225"/>
      <c r="P300" s="113"/>
      <c r="Q300" s="225"/>
      <c r="R300" s="64"/>
      <c r="S300" s="29"/>
      <c r="T300" s="29"/>
      <c r="U300" s="6"/>
    </row>
    <row r="301" spans="1:21" ht="16.5" customHeight="1" x14ac:dyDescent="0.25">
      <c r="A301" s="303" t="s">
        <v>285</v>
      </c>
      <c r="B301" s="304" t="s">
        <v>18</v>
      </c>
      <c r="C301" s="235">
        <v>88245</v>
      </c>
      <c r="D301" s="21" t="s">
        <v>244</v>
      </c>
      <c r="E301" s="26" t="s">
        <v>118</v>
      </c>
      <c r="F301" s="195">
        <v>1.43E-2</v>
      </c>
      <c r="G301" s="34">
        <v>29.01</v>
      </c>
      <c r="H301" s="93"/>
      <c r="I301" s="34">
        <f>TRUNC(G301*F301,2)</f>
        <v>0.41</v>
      </c>
      <c r="J301" s="93"/>
      <c r="K301" s="93"/>
      <c r="L301" s="224"/>
      <c r="M301" s="225"/>
      <c r="N301" s="113"/>
      <c r="O301" s="225"/>
      <c r="P301" s="113"/>
      <c r="Q301" s="225"/>
      <c r="R301" s="64"/>
      <c r="S301" s="29"/>
      <c r="T301" s="29"/>
      <c r="U301" s="6"/>
    </row>
    <row r="302" spans="1:21" ht="16.5" customHeight="1" x14ac:dyDescent="0.25">
      <c r="A302" s="303" t="s">
        <v>285</v>
      </c>
      <c r="B302" s="304" t="s">
        <v>18</v>
      </c>
      <c r="C302" s="235">
        <v>92804</v>
      </c>
      <c r="D302" s="21" t="s">
        <v>349</v>
      </c>
      <c r="E302" s="26" t="s">
        <v>121</v>
      </c>
      <c r="F302" s="195">
        <v>1</v>
      </c>
      <c r="G302" s="34">
        <v>7.53</v>
      </c>
      <c r="H302" s="93">
        <f>TRUNC(G302*F302,2)</f>
        <v>7.53</v>
      </c>
      <c r="I302" s="93"/>
      <c r="J302" s="93"/>
      <c r="K302" s="93"/>
      <c r="L302" s="224"/>
      <c r="M302" s="225"/>
      <c r="N302" s="113"/>
      <c r="O302" s="225"/>
      <c r="P302" s="113"/>
      <c r="Q302" s="225"/>
      <c r="R302" s="64"/>
      <c r="S302" s="29"/>
      <c r="T302" s="29"/>
      <c r="U302" s="6"/>
    </row>
    <row r="303" spans="1:21" ht="16.5" customHeight="1" x14ac:dyDescent="0.25">
      <c r="A303" s="299" t="s">
        <v>245</v>
      </c>
      <c r="B303" s="300" t="s">
        <v>37</v>
      </c>
      <c r="C303" s="183"/>
      <c r="D303" s="25" t="s">
        <v>246</v>
      </c>
      <c r="E303" s="24" t="s">
        <v>116</v>
      </c>
      <c r="F303" s="197">
        <f>'Planilha Analítica'!F78</f>
        <v>3</v>
      </c>
      <c r="G303" s="180"/>
      <c r="H303" s="92">
        <f>SUM(H304:H305)</f>
        <v>0</v>
      </c>
      <c r="I303" s="92">
        <f>SUM(I304:I305)</f>
        <v>41.76</v>
      </c>
      <c r="J303" s="92">
        <f>I303+H303</f>
        <v>41.76</v>
      </c>
      <c r="K303" s="92">
        <f>ROUND(H303*$F303,2)</f>
        <v>0</v>
      </c>
      <c r="L303" s="92">
        <f>ROUND(I303*$F303,2)</f>
        <v>125.28</v>
      </c>
      <c r="M303" s="100">
        <f>L303+K303</f>
        <v>125.28</v>
      </c>
      <c r="N303" s="112">
        <f>$K$5</f>
        <v>0.2111176002216073</v>
      </c>
      <c r="O303" s="100">
        <f>ROUND(H303*(1+$N303),2)</f>
        <v>0</v>
      </c>
      <c r="P303" s="112">
        <f>$J$5</f>
        <v>0.26838623884514634</v>
      </c>
      <c r="Q303" s="100">
        <f>ROUND(I303*(1+$P303),2)</f>
        <v>52.97</v>
      </c>
      <c r="R303" s="28">
        <f>ROUND(O303*$F303,2)</f>
        <v>0</v>
      </c>
      <c r="S303" s="28">
        <f>ROUND(Q303*$F303,2)</f>
        <v>158.91</v>
      </c>
      <c r="T303" s="28">
        <f>S303+R303</f>
        <v>158.91</v>
      </c>
      <c r="U303" s="6"/>
    </row>
    <row r="304" spans="1:21" ht="16.5" customHeight="1" x14ac:dyDescent="0.25">
      <c r="A304" s="303" t="s">
        <v>285</v>
      </c>
      <c r="B304" s="304" t="s">
        <v>18</v>
      </c>
      <c r="C304" s="250">
        <v>88309</v>
      </c>
      <c r="D304" s="27" t="s">
        <v>27</v>
      </c>
      <c r="E304" s="26" t="s">
        <v>118</v>
      </c>
      <c r="F304" s="195">
        <v>0.75</v>
      </c>
      <c r="G304" s="34">
        <v>29.24</v>
      </c>
      <c r="H304" s="34"/>
      <c r="I304" s="34">
        <f>TRUNC(G304*F304,2)</f>
        <v>21.93</v>
      </c>
      <c r="J304" s="34"/>
      <c r="K304" s="34"/>
      <c r="L304" s="224"/>
      <c r="M304" s="225"/>
      <c r="N304" s="113"/>
      <c r="O304" s="225"/>
      <c r="P304" s="113"/>
      <c r="Q304" s="225"/>
      <c r="R304" s="64"/>
      <c r="S304" s="29"/>
      <c r="T304" s="29"/>
      <c r="U304" s="6"/>
    </row>
    <row r="305" spans="1:21" ht="16.5" customHeight="1" x14ac:dyDescent="0.25">
      <c r="A305" s="303" t="s">
        <v>285</v>
      </c>
      <c r="B305" s="304" t="s">
        <v>18</v>
      </c>
      <c r="C305" s="250">
        <v>88316</v>
      </c>
      <c r="D305" s="27" t="s">
        <v>28</v>
      </c>
      <c r="E305" s="26" t="s">
        <v>118</v>
      </c>
      <c r="F305" s="195">
        <v>0.78</v>
      </c>
      <c r="G305" s="34">
        <v>25.43</v>
      </c>
      <c r="H305" s="34"/>
      <c r="I305" s="34">
        <f>TRUNC(G305*F305,2)</f>
        <v>19.829999999999998</v>
      </c>
      <c r="J305" s="34"/>
      <c r="K305" s="34"/>
      <c r="L305" s="224"/>
      <c r="M305" s="225"/>
      <c r="N305" s="113"/>
      <c r="O305" s="225"/>
      <c r="P305" s="113"/>
      <c r="Q305" s="225"/>
      <c r="R305" s="64"/>
      <c r="S305" s="29"/>
      <c r="T305" s="29"/>
      <c r="U305" s="6"/>
    </row>
    <row r="306" spans="1:21" ht="16.5" customHeight="1" x14ac:dyDescent="0.25">
      <c r="A306" s="299" t="s">
        <v>247</v>
      </c>
      <c r="B306" s="300" t="s">
        <v>18</v>
      </c>
      <c r="C306" s="183">
        <v>91222</v>
      </c>
      <c r="D306" s="19" t="s">
        <v>390</v>
      </c>
      <c r="E306" s="24" t="s">
        <v>117</v>
      </c>
      <c r="F306" s="197">
        <f>'Planilha Analítica'!F79</f>
        <v>10</v>
      </c>
      <c r="G306" s="89"/>
      <c r="H306" s="92">
        <f>SUM(H307:H308)</f>
        <v>0</v>
      </c>
      <c r="I306" s="92">
        <f>SUM(I307:I308)</f>
        <v>17.57</v>
      </c>
      <c r="J306" s="92">
        <f>I306+H306</f>
        <v>17.57</v>
      </c>
      <c r="K306" s="92">
        <f>ROUND(H306*$F306,2)</f>
        <v>0</v>
      </c>
      <c r="L306" s="92">
        <f>ROUND(I306*$F306,2)</f>
        <v>175.7</v>
      </c>
      <c r="M306" s="100">
        <f>L306+K306</f>
        <v>175.7</v>
      </c>
      <c r="N306" s="112">
        <f>$K$5</f>
        <v>0.2111176002216073</v>
      </c>
      <c r="O306" s="100">
        <f>ROUND(H306*(1+$N306),2)</f>
        <v>0</v>
      </c>
      <c r="P306" s="112">
        <f>$J$5</f>
        <v>0.26838623884514634</v>
      </c>
      <c r="Q306" s="100">
        <f>ROUND(I306*(1+$P306),2)</f>
        <v>22.29</v>
      </c>
      <c r="R306" s="28">
        <f>ROUND(O306*$F306,2)</f>
        <v>0</v>
      </c>
      <c r="S306" s="28">
        <f>ROUND(Q306*$F306,2)</f>
        <v>222.9</v>
      </c>
      <c r="T306" s="28">
        <f>S306+R306</f>
        <v>222.9</v>
      </c>
      <c r="U306" s="6"/>
    </row>
    <row r="307" spans="1:21" ht="16.5" customHeight="1" x14ac:dyDescent="0.25">
      <c r="A307" s="303" t="s">
        <v>285</v>
      </c>
      <c r="B307" s="304" t="s">
        <v>18</v>
      </c>
      <c r="C307" s="268">
        <v>88248</v>
      </c>
      <c r="D307" s="21" t="s">
        <v>23</v>
      </c>
      <c r="E307" s="26" t="s">
        <v>118</v>
      </c>
      <c r="F307" s="195">
        <v>7.5999999999999998E-2</v>
      </c>
      <c r="G307" s="34">
        <v>26.73</v>
      </c>
      <c r="H307" s="93"/>
      <c r="I307" s="34">
        <f>TRUNC(G307*F307,2)</f>
        <v>2.0299999999999998</v>
      </c>
      <c r="J307" s="93"/>
      <c r="K307" s="93"/>
      <c r="L307" s="224"/>
      <c r="M307" s="225"/>
      <c r="N307" s="113"/>
      <c r="O307" s="225"/>
      <c r="P307" s="113"/>
      <c r="Q307" s="225"/>
      <c r="R307" s="64"/>
      <c r="S307" s="29"/>
      <c r="T307" s="29"/>
      <c r="U307" s="6"/>
    </row>
    <row r="308" spans="1:21" ht="16.5" customHeight="1" x14ac:dyDescent="0.25">
      <c r="A308" s="303" t="s">
        <v>285</v>
      </c>
      <c r="B308" s="304" t="s">
        <v>18</v>
      </c>
      <c r="C308" s="268">
        <v>88267</v>
      </c>
      <c r="D308" s="21" t="s">
        <v>24</v>
      </c>
      <c r="E308" s="26" t="s">
        <v>118</v>
      </c>
      <c r="F308" s="195">
        <v>0.48299999999999998</v>
      </c>
      <c r="G308" s="34">
        <v>32.19</v>
      </c>
      <c r="H308" s="34"/>
      <c r="I308" s="34">
        <f>TRUNC(G308*F308,2)</f>
        <v>15.54</v>
      </c>
      <c r="J308" s="34"/>
      <c r="K308" s="34"/>
      <c r="L308" s="224"/>
      <c r="M308" s="225"/>
      <c r="N308" s="113"/>
      <c r="O308" s="225"/>
      <c r="P308" s="113"/>
      <c r="Q308" s="225"/>
      <c r="R308" s="64"/>
      <c r="S308" s="29"/>
      <c r="T308" s="29"/>
      <c r="U308" s="6"/>
    </row>
    <row r="309" spans="1:21" ht="34.5" customHeight="1" x14ac:dyDescent="0.25">
      <c r="A309" s="299" t="s">
        <v>248</v>
      </c>
      <c r="B309" s="300" t="s">
        <v>37</v>
      </c>
      <c r="C309" s="183"/>
      <c r="D309" s="19" t="s">
        <v>450</v>
      </c>
      <c r="E309" s="24" t="s">
        <v>116</v>
      </c>
      <c r="F309" s="197">
        <f>'Planilha Analítica'!F80</f>
        <v>12</v>
      </c>
      <c r="G309" s="89"/>
      <c r="H309" s="92">
        <f>SUM(H310:H311)</f>
        <v>26</v>
      </c>
      <c r="I309" s="92">
        <f>SUM(I310:I311)</f>
        <v>69.180000000000007</v>
      </c>
      <c r="J309" s="92">
        <f>I309+H309</f>
        <v>95.18</v>
      </c>
      <c r="K309" s="92">
        <f>ROUND(H309*$F309,2)</f>
        <v>312</v>
      </c>
      <c r="L309" s="92">
        <f>ROUND(I309*$F309,2)</f>
        <v>830.16</v>
      </c>
      <c r="M309" s="100">
        <f>L309+K309</f>
        <v>1142.1599999999999</v>
      </c>
      <c r="N309" s="112">
        <f>$K$5</f>
        <v>0.2111176002216073</v>
      </c>
      <c r="O309" s="100">
        <f>ROUND(H309*(1+$N309),2)</f>
        <v>31.49</v>
      </c>
      <c r="P309" s="112">
        <f>$J$5</f>
        <v>0.26838623884514634</v>
      </c>
      <c r="Q309" s="100">
        <f>ROUND(I309*(1+$P309),2)</f>
        <v>87.75</v>
      </c>
      <c r="R309" s="28">
        <f>ROUND(O309*$F309,2)</f>
        <v>377.88</v>
      </c>
      <c r="S309" s="28">
        <f>ROUND(Q309*$F309,2)</f>
        <v>1053</v>
      </c>
      <c r="T309" s="28">
        <f>S309+R309</f>
        <v>1430.88</v>
      </c>
      <c r="U309" s="6"/>
    </row>
    <row r="310" spans="1:21" ht="16.5" customHeight="1" x14ac:dyDescent="0.25">
      <c r="A310" s="303" t="s">
        <v>285</v>
      </c>
      <c r="B310" s="304" t="s">
        <v>18</v>
      </c>
      <c r="C310" s="268">
        <v>93358</v>
      </c>
      <c r="D310" s="21" t="s">
        <v>446</v>
      </c>
      <c r="E310" s="26" t="s">
        <v>447</v>
      </c>
      <c r="F310" s="195">
        <v>0.3</v>
      </c>
      <c r="G310" s="34">
        <v>100.6</v>
      </c>
      <c r="H310" s="93"/>
      <c r="I310" s="34">
        <f>TRUNC(G310*F310,2)</f>
        <v>30.18</v>
      </c>
      <c r="J310" s="93"/>
      <c r="K310" s="93"/>
      <c r="L310" s="224"/>
      <c r="M310" s="225"/>
      <c r="N310" s="113"/>
      <c r="O310" s="225"/>
      <c r="P310" s="113"/>
      <c r="Q310" s="225"/>
      <c r="R310" s="64"/>
      <c r="S310" s="29"/>
      <c r="T310" s="29"/>
      <c r="U310" s="6"/>
    </row>
    <row r="311" spans="1:21" ht="16.5" customHeight="1" x14ac:dyDescent="0.25">
      <c r="A311" s="303" t="s">
        <v>285</v>
      </c>
      <c r="B311" s="304" t="s">
        <v>18</v>
      </c>
      <c r="C311" s="268">
        <v>98505</v>
      </c>
      <c r="D311" s="21" t="s">
        <v>448</v>
      </c>
      <c r="E311" s="26" t="s">
        <v>449</v>
      </c>
      <c r="F311" s="195">
        <v>1</v>
      </c>
      <c r="G311" s="34">
        <v>65</v>
      </c>
      <c r="H311" s="34">
        <f>ROUND(G311*0.4,2)</f>
        <v>26</v>
      </c>
      <c r="I311" s="34">
        <f>ROUND(G311*0.6,2)</f>
        <v>39</v>
      </c>
      <c r="J311" s="34"/>
      <c r="K311" s="34"/>
      <c r="L311" s="224"/>
      <c r="M311" s="225"/>
      <c r="N311" s="113"/>
      <c r="O311" s="225"/>
      <c r="P311" s="113"/>
      <c r="Q311" s="225"/>
      <c r="R311" s="64"/>
      <c r="S311" s="29"/>
      <c r="T311" s="29"/>
      <c r="U311" s="6"/>
    </row>
    <row r="312" spans="1:21" ht="16.5" customHeight="1" x14ac:dyDescent="0.25">
      <c r="A312" s="299" t="s">
        <v>249</v>
      </c>
      <c r="B312" s="300" t="s">
        <v>37</v>
      </c>
      <c r="C312" s="183"/>
      <c r="D312" s="25" t="s">
        <v>310</v>
      </c>
      <c r="E312" s="24" t="s">
        <v>117</v>
      </c>
      <c r="F312" s="197">
        <f>'Planilha Analítica'!F81</f>
        <v>75</v>
      </c>
      <c r="G312" s="89"/>
      <c r="H312" s="92">
        <f>SUM(H313:H315)</f>
        <v>9.4700000000000006</v>
      </c>
      <c r="I312" s="92">
        <f>SUM(I313:I315)</f>
        <v>10.6</v>
      </c>
      <c r="J312" s="92">
        <f>I312+H312</f>
        <v>20.07</v>
      </c>
      <c r="K312" s="92">
        <f>ROUND(H312*$F312,2)</f>
        <v>710.25</v>
      </c>
      <c r="L312" s="92">
        <f>ROUND(I312*$F312,2)</f>
        <v>795</v>
      </c>
      <c r="M312" s="100">
        <f>L312+K312</f>
        <v>1505.25</v>
      </c>
      <c r="N312" s="112">
        <f>$K$5</f>
        <v>0.2111176002216073</v>
      </c>
      <c r="O312" s="100">
        <f>ROUND(H312*(1+$N312),2)</f>
        <v>11.47</v>
      </c>
      <c r="P312" s="112">
        <f>$J$5</f>
        <v>0.26838623884514634</v>
      </c>
      <c r="Q312" s="100">
        <f>ROUND(I312*(1+$P312),2)</f>
        <v>13.44</v>
      </c>
      <c r="R312" s="28">
        <f>ROUND(O312*$F312,2)</f>
        <v>860.25</v>
      </c>
      <c r="S312" s="28">
        <f>ROUND(Q312*$F312,2)</f>
        <v>1008</v>
      </c>
      <c r="T312" s="28">
        <f>S312+R312</f>
        <v>1868.25</v>
      </c>
      <c r="U312" s="6"/>
    </row>
    <row r="313" spans="1:21" ht="16.5" customHeight="1" x14ac:dyDescent="0.25">
      <c r="A313" s="303" t="s">
        <v>284</v>
      </c>
      <c r="B313" s="305" t="s">
        <v>294</v>
      </c>
      <c r="C313" s="250" t="s">
        <v>343</v>
      </c>
      <c r="D313" s="27" t="s">
        <v>344</v>
      </c>
      <c r="E313" s="22" t="s">
        <v>117</v>
      </c>
      <c r="F313" s="195">
        <v>1.0429999999999999</v>
      </c>
      <c r="G313" s="34">
        <v>9.08</v>
      </c>
      <c r="H313" s="93">
        <f>TRUNC(G313*F313,2)</f>
        <v>9.4700000000000006</v>
      </c>
      <c r="I313" s="93"/>
      <c r="J313" s="93"/>
      <c r="K313" s="93"/>
      <c r="L313" s="224"/>
      <c r="M313" s="225"/>
      <c r="N313" s="113"/>
      <c r="O313" s="225"/>
      <c r="P313" s="113"/>
      <c r="Q313" s="225"/>
      <c r="R313" s="64"/>
      <c r="S313" s="29"/>
      <c r="T313" s="29"/>
      <c r="U313" s="6"/>
    </row>
    <row r="314" spans="1:21" ht="16.5" customHeight="1" x14ac:dyDescent="0.25">
      <c r="A314" s="303" t="s">
        <v>285</v>
      </c>
      <c r="B314" s="304" t="s">
        <v>18</v>
      </c>
      <c r="C314" s="250">
        <v>88248</v>
      </c>
      <c r="D314" s="21" t="s">
        <v>23</v>
      </c>
      <c r="E314" s="26" t="s">
        <v>118</v>
      </c>
      <c r="F314" s="195">
        <v>0.18</v>
      </c>
      <c r="G314" s="34">
        <v>26.73</v>
      </c>
      <c r="H314" s="34"/>
      <c r="I314" s="34">
        <f>TRUNC(G314*F314,2)</f>
        <v>4.8099999999999996</v>
      </c>
      <c r="J314" s="34"/>
      <c r="K314" s="34"/>
      <c r="L314" s="224"/>
      <c r="M314" s="225"/>
      <c r="N314" s="113"/>
      <c r="O314" s="225"/>
      <c r="P314" s="113"/>
      <c r="Q314" s="225"/>
      <c r="R314" s="64"/>
      <c r="S314" s="29"/>
      <c r="T314" s="29"/>
      <c r="U314" s="6"/>
    </row>
    <row r="315" spans="1:21" ht="16.5" customHeight="1" x14ac:dyDescent="0.25">
      <c r="A315" s="303" t="s">
        <v>285</v>
      </c>
      <c r="B315" s="304" t="s">
        <v>18</v>
      </c>
      <c r="C315" s="250">
        <v>88267</v>
      </c>
      <c r="D315" s="21" t="s">
        <v>24</v>
      </c>
      <c r="E315" s="26" t="s">
        <v>118</v>
      </c>
      <c r="F315" s="195">
        <v>0.18</v>
      </c>
      <c r="G315" s="34">
        <v>32.19</v>
      </c>
      <c r="H315" s="34"/>
      <c r="I315" s="34">
        <f>TRUNC(G315*F315,2)</f>
        <v>5.79</v>
      </c>
      <c r="J315" s="34"/>
      <c r="K315" s="34"/>
      <c r="L315" s="224"/>
      <c r="M315" s="225"/>
      <c r="N315" s="113"/>
      <c r="O315" s="225"/>
      <c r="P315" s="113"/>
      <c r="Q315" s="225"/>
      <c r="R315" s="64"/>
      <c r="S315" s="29"/>
      <c r="T315" s="29"/>
      <c r="U315" s="6"/>
    </row>
    <row r="316" spans="1:21" ht="45" customHeight="1" x14ac:dyDescent="0.25">
      <c r="A316" s="299" t="s">
        <v>250</v>
      </c>
      <c r="B316" s="300" t="s">
        <v>18</v>
      </c>
      <c r="C316" s="183">
        <v>87561</v>
      </c>
      <c r="D316" s="25" t="s">
        <v>276</v>
      </c>
      <c r="E316" s="24" t="s">
        <v>116</v>
      </c>
      <c r="F316" s="197">
        <f>'Planilha Analítica'!F82</f>
        <v>5</v>
      </c>
      <c r="G316" s="89"/>
      <c r="H316" s="92">
        <f>SUM(H317:H319)</f>
        <v>34.92</v>
      </c>
      <c r="I316" s="92">
        <f>SUM(I317:I319)</f>
        <v>9.07</v>
      </c>
      <c r="J316" s="92">
        <f>I316+H316</f>
        <v>43.99</v>
      </c>
      <c r="K316" s="92">
        <f>ROUND(H316*$F316,2)</f>
        <v>174.6</v>
      </c>
      <c r="L316" s="92">
        <f>ROUND(I316*$F316,2)</f>
        <v>45.35</v>
      </c>
      <c r="M316" s="100">
        <f>L316+K316</f>
        <v>219.95</v>
      </c>
      <c r="N316" s="112">
        <f>$K$5</f>
        <v>0.2111176002216073</v>
      </c>
      <c r="O316" s="100">
        <f>ROUND(H316*(1+$N316),2)</f>
        <v>42.29</v>
      </c>
      <c r="P316" s="112">
        <f>$J$5</f>
        <v>0.26838623884514634</v>
      </c>
      <c r="Q316" s="100">
        <f>ROUND(I316*(1+$P316),2)</f>
        <v>11.5</v>
      </c>
      <c r="R316" s="28">
        <f>ROUND(O316*$F316,2)</f>
        <v>211.45</v>
      </c>
      <c r="S316" s="28">
        <f>ROUND(Q316*$F316,2)</f>
        <v>57.5</v>
      </c>
      <c r="T316" s="28">
        <f>S316+R316</f>
        <v>268.95</v>
      </c>
      <c r="U316" s="6"/>
    </row>
    <row r="317" spans="1:21" ht="16.5" customHeight="1" x14ac:dyDescent="0.25">
      <c r="A317" s="303" t="s">
        <v>285</v>
      </c>
      <c r="B317" s="304" t="s">
        <v>18</v>
      </c>
      <c r="C317" s="250">
        <v>87407</v>
      </c>
      <c r="D317" s="27" t="s">
        <v>255</v>
      </c>
      <c r="E317" s="22" t="s">
        <v>119</v>
      </c>
      <c r="F317" s="195">
        <v>2.1299999999999999E-2</v>
      </c>
      <c r="G317" s="34">
        <v>1639.71</v>
      </c>
      <c r="H317" s="93">
        <f>TRUNC(G317*F317,2)</f>
        <v>34.92</v>
      </c>
      <c r="I317" s="93"/>
      <c r="J317" s="93"/>
      <c r="K317" s="93"/>
      <c r="L317" s="224"/>
      <c r="M317" s="225"/>
      <c r="N317" s="113"/>
      <c r="O317" s="225"/>
      <c r="P317" s="113"/>
      <c r="Q317" s="225"/>
      <c r="R317" s="64"/>
      <c r="S317" s="29"/>
      <c r="T317" s="29"/>
      <c r="U317" s="6"/>
    </row>
    <row r="318" spans="1:21" ht="16.5" customHeight="1" x14ac:dyDescent="0.25">
      <c r="A318" s="303" t="s">
        <v>285</v>
      </c>
      <c r="B318" s="304" t="s">
        <v>18</v>
      </c>
      <c r="C318" s="250">
        <v>88309</v>
      </c>
      <c r="D318" s="21" t="s">
        <v>27</v>
      </c>
      <c r="E318" s="26" t="s">
        <v>118</v>
      </c>
      <c r="F318" s="195">
        <v>0.28000000000000003</v>
      </c>
      <c r="G318" s="34">
        <v>29.24</v>
      </c>
      <c r="H318" s="34"/>
      <c r="I318" s="34">
        <f>TRUNC(G318*F318,2)</f>
        <v>8.18</v>
      </c>
      <c r="J318" s="34"/>
      <c r="K318" s="34"/>
      <c r="L318" s="224"/>
      <c r="M318" s="225"/>
      <c r="N318" s="113"/>
      <c r="O318" s="225"/>
      <c r="P318" s="113"/>
      <c r="Q318" s="225"/>
      <c r="R318" s="64"/>
      <c r="S318" s="29"/>
      <c r="T318" s="29"/>
      <c r="U318" s="6"/>
    </row>
    <row r="319" spans="1:21" ht="16.5" customHeight="1" x14ac:dyDescent="0.25">
      <c r="A319" s="303" t="s">
        <v>285</v>
      </c>
      <c r="B319" s="304" t="s">
        <v>18</v>
      </c>
      <c r="C319" s="250">
        <v>88316</v>
      </c>
      <c r="D319" s="21" t="s">
        <v>28</v>
      </c>
      <c r="E319" s="26" t="s">
        <v>118</v>
      </c>
      <c r="F319" s="195">
        <v>3.5000000000000003E-2</v>
      </c>
      <c r="G319" s="34">
        <v>25.43</v>
      </c>
      <c r="H319" s="34"/>
      <c r="I319" s="34">
        <f>TRUNC(G319*F319,2)</f>
        <v>0.89</v>
      </c>
      <c r="J319" s="34"/>
      <c r="K319" s="34"/>
      <c r="L319" s="224"/>
      <c r="M319" s="225"/>
      <c r="N319" s="113"/>
      <c r="O319" s="225"/>
      <c r="P319" s="113"/>
      <c r="Q319" s="225"/>
      <c r="R319" s="64"/>
      <c r="S319" s="29"/>
      <c r="T319" s="29"/>
      <c r="U319" s="6"/>
    </row>
    <row r="320" spans="1:21" ht="16.5" customHeight="1" x14ac:dyDescent="0.25">
      <c r="A320" s="299" t="s">
        <v>251</v>
      </c>
      <c r="B320" s="300" t="s">
        <v>18</v>
      </c>
      <c r="C320" s="183">
        <v>88485</v>
      </c>
      <c r="D320" s="25" t="s">
        <v>257</v>
      </c>
      <c r="E320" s="24" t="s">
        <v>116</v>
      </c>
      <c r="F320" s="197">
        <f>'Planilha Analítica'!F83</f>
        <v>150</v>
      </c>
      <c r="G320" s="89"/>
      <c r="H320" s="92">
        <f>SUM(H321:H323)</f>
        <v>1.84</v>
      </c>
      <c r="I320" s="92">
        <f>SUM(I321:I323)</f>
        <v>1.6099999999999999</v>
      </c>
      <c r="J320" s="92">
        <f>I320+H320</f>
        <v>3.45</v>
      </c>
      <c r="K320" s="92">
        <f>ROUND(H320*$F320,2)</f>
        <v>276</v>
      </c>
      <c r="L320" s="92">
        <f>ROUND(I320*$F320,2)</f>
        <v>241.5</v>
      </c>
      <c r="M320" s="100">
        <f>L320+K320</f>
        <v>517.5</v>
      </c>
      <c r="N320" s="112">
        <f>$K$5</f>
        <v>0.2111176002216073</v>
      </c>
      <c r="O320" s="100">
        <f>ROUND(H320*(1+$N320),2)</f>
        <v>2.23</v>
      </c>
      <c r="P320" s="112">
        <f>$J$5</f>
        <v>0.26838623884514634</v>
      </c>
      <c r="Q320" s="100">
        <f>ROUND(I320*(1+$P320),2)</f>
        <v>2.04</v>
      </c>
      <c r="R320" s="28">
        <f>ROUND(O320*$F320,2)</f>
        <v>334.5</v>
      </c>
      <c r="S320" s="28">
        <f>ROUND(Q320*$F320,2)</f>
        <v>306</v>
      </c>
      <c r="T320" s="28">
        <f>S320+R320</f>
        <v>640.5</v>
      </c>
      <c r="U320" s="6"/>
    </row>
    <row r="321" spans="1:21" ht="16.5" customHeight="1" x14ac:dyDescent="0.25">
      <c r="A321" s="303" t="s">
        <v>284</v>
      </c>
      <c r="B321" s="304" t="s">
        <v>18</v>
      </c>
      <c r="C321" s="250">
        <v>6085</v>
      </c>
      <c r="D321" s="27" t="s">
        <v>258</v>
      </c>
      <c r="E321" s="22" t="s">
        <v>120</v>
      </c>
      <c r="F321" s="195">
        <v>0.16</v>
      </c>
      <c r="G321" s="34">
        <v>11.51</v>
      </c>
      <c r="H321" s="93">
        <f>TRUNC(G321*F321,2)</f>
        <v>1.84</v>
      </c>
      <c r="I321" s="93"/>
      <c r="J321" s="93"/>
      <c r="K321" s="93"/>
      <c r="L321" s="224"/>
      <c r="M321" s="225"/>
      <c r="N321" s="113"/>
      <c r="O321" s="225"/>
      <c r="P321" s="113"/>
      <c r="Q321" s="225"/>
      <c r="R321" s="64"/>
      <c r="S321" s="29"/>
      <c r="T321" s="29"/>
      <c r="U321" s="6"/>
    </row>
    <row r="322" spans="1:21" ht="16.5" customHeight="1" x14ac:dyDescent="0.25">
      <c r="A322" s="303" t="s">
        <v>285</v>
      </c>
      <c r="B322" s="304" t="s">
        <v>18</v>
      </c>
      <c r="C322" s="250">
        <v>88310</v>
      </c>
      <c r="D322" s="21" t="s">
        <v>225</v>
      </c>
      <c r="E322" s="26" t="s">
        <v>118</v>
      </c>
      <c r="F322" s="195">
        <v>3.9E-2</v>
      </c>
      <c r="G322" s="34">
        <v>32.32</v>
      </c>
      <c r="H322" s="34"/>
      <c r="I322" s="34">
        <f>TRUNC(G322*F322,2)</f>
        <v>1.26</v>
      </c>
      <c r="J322" s="34"/>
      <c r="K322" s="34"/>
      <c r="L322" s="224"/>
      <c r="M322" s="225"/>
      <c r="N322" s="113"/>
      <c r="O322" s="225"/>
      <c r="P322" s="113"/>
      <c r="Q322" s="225"/>
      <c r="R322" s="64"/>
      <c r="S322" s="29"/>
      <c r="T322" s="29"/>
      <c r="U322" s="6"/>
    </row>
    <row r="323" spans="1:21" ht="16.5" customHeight="1" x14ac:dyDescent="0.25">
      <c r="A323" s="303" t="s">
        <v>285</v>
      </c>
      <c r="B323" s="302" t="s">
        <v>18</v>
      </c>
      <c r="C323" s="229">
        <v>88316</v>
      </c>
      <c r="D323" s="46" t="s">
        <v>28</v>
      </c>
      <c r="E323" s="26" t="s">
        <v>118</v>
      </c>
      <c r="F323" s="342">
        <v>1.4E-2</v>
      </c>
      <c r="G323" s="48">
        <v>25.43</v>
      </c>
      <c r="H323" s="34"/>
      <c r="I323" s="34">
        <f>TRUNC(G323*F323,2)</f>
        <v>0.35</v>
      </c>
      <c r="J323" s="34"/>
      <c r="K323" s="34"/>
      <c r="L323" s="224"/>
      <c r="M323" s="225"/>
      <c r="N323" s="113"/>
      <c r="O323" s="225"/>
      <c r="P323" s="113"/>
      <c r="Q323" s="225"/>
      <c r="R323" s="64"/>
      <c r="S323" s="29"/>
      <c r="T323" s="29"/>
      <c r="U323" s="6"/>
    </row>
    <row r="324" spans="1:21" ht="16.5" customHeight="1" x14ac:dyDescent="0.25">
      <c r="A324" s="299" t="s">
        <v>252</v>
      </c>
      <c r="B324" s="300" t="s">
        <v>18</v>
      </c>
      <c r="C324" s="183">
        <v>88489</v>
      </c>
      <c r="D324" s="25" t="s">
        <v>260</v>
      </c>
      <c r="E324" s="24" t="s">
        <v>116</v>
      </c>
      <c r="F324" s="197">
        <f>'Planilha Analítica'!F84</f>
        <v>150</v>
      </c>
      <c r="G324" s="89"/>
      <c r="H324" s="92">
        <f>SUM(H325:H327)</f>
        <v>10.14</v>
      </c>
      <c r="I324" s="92">
        <f>SUM(I325:I327)</f>
        <v>7.79</v>
      </c>
      <c r="J324" s="92">
        <f>I324+H324</f>
        <v>17.93</v>
      </c>
      <c r="K324" s="92">
        <f>ROUND(H324*$F324,2)</f>
        <v>1521</v>
      </c>
      <c r="L324" s="92">
        <f>ROUND(I324*$F324,2)</f>
        <v>1168.5</v>
      </c>
      <c r="M324" s="100">
        <f>L324+K324</f>
        <v>2689.5</v>
      </c>
      <c r="N324" s="112">
        <f>$K$5</f>
        <v>0.2111176002216073</v>
      </c>
      <c r="O324" s="100">
        <f>ROUND(H324*(1+$N324),2)</f>
        <v>12.28</v>
      </c>
      <c r="P324" s="112">
        <f>$J$5</f>
        <v>0.26838623884514634</v>
      </c>
      <c r="Q324" s="100">
        <f>ROUND(I324*(1+$P324),2)</f>
        <v>9.8800000000000008</v>
      </c>
      <c r="R324" s="28">
        <f>ROUND(O324*$F324,2)</f>
        <v>1842</v>
      </c>
      <c r="S324" s="28">
        <f>ROUND(Q324*$F324,2)</f>
        <v>1482</v>
      </c>
      <c r="T324" s="28">
        <f>S324+R324</f>
        <v>3324</v>
      </c>
      <c r="U324" s="6"/>
    </row>
    <row r="325" spans="1:21" ht="16.5" customHeight="1" x14ac:dyDescent="0.25">
      <c r="A325" s="303" t="s">
        <v>284</v>
      </c>
      <c r="B325" s="304" t="s">
        <v>18</v>
      </c>
      <c r="C325" s="250">
        <v>7356</v>
      </c>
      <c r="D325" s="27" t="s">
        <v>261</v>
      </c>
      <c r="E325" s="22" t="s">
        <v>223</v>
      </c>
      <c r="F325" s="195">
        <v>0.33</v>
      </c>
      <c r="G325" s="34">
        <v>30.74</v>
      </c>
      <c r="H325" s="93">
        <f>TRUNC(G325*F325,2)</f>
        <v>10.14</v>
      </c>
      <c r="I325" s="93"/>
      <c r="J325" s="93"/>
      <c r="K325" s="93"/>
      <c r="L325" s="224"/>
      <c r="M325" s="225"/>
      <c r="N325" s="113"/>
      <c r="O325" s="225"/>
      <c r="P325" s="113"/>
      <c r="Q325" s="225"/>
      <c r="R325" s="64"/>
      <c r="S325" s="29"/>
      <c r="T325" s="29"/>
      <c r="U325" s="6"/>
    </row>
    <row r="326" spans="1:21" ht="16.5" customHeight="1" x14ac:dyDescent="0.25">
      <c r="A326" s="303" t="s">
        <v>285</v>
      </c>
      <c r="B326" s="304" t="s">
        <v>18</v>
      </c>
      <c r="C326" s="250">
        <v>88310</v>
      </c>
      <c r="D326" s="21" t="s">
        <v>225</v>
      </c>
      <c r="E326" s="26" t="s">
        <v>118</v>
      </c>
      <c r="F326" s="195">
        <v>0.187</v>
      </c>
      <c r="G326" s="34">
        <v>32.32</v>
      </c>
      <c r="H326" s="34"/>
      <c r="I326" s="34">
        <f>TRUNC(G326*F326,2)</f>
        <v>6.04</v>
      </c>
      <c r="J326" s="34"/>
      <c r="K326" s="34"/>
      <c r="L326" s="224"/>
      <c r="M326" s="225"/>
      <c r="N326" s="113"/>
      <c r="O326" s="225"/>
      <c r="P326" s="113"/>
      <c r="Q326" s="225"/>
      <c r="R326" s="64"/>
      <c r="S326" s="29"/>
      <c r="T326" s="29"/>
      <c r="U326" s="6"/>
    </row>
    <row r="327" spans="1:21" ht="16.5" customHeight="1" x14ac:dyDescent="0.25">
      <c r="A327" s="303" t="s">
        <v>285</v>
      </c>
      <c r="B327" s="302" t="s">
        <v>18</v>
      </c>
      <c r="C327" s="229">
        <v>88316</v>
      </c>
      <c r="D327" s="46" t="s">
        <v>28</v>
      </c>
      <c r="E327" s="26" t="s">
        <v>118</v>
      </c>
      <c r="F327" s="342">
        <v>6.9000000000000006E-2</v>
      </c>
      <c r="G327" s="48">
        <v>25.43</v>
      </c>
      <c r="H327" s="34"/>
      <c r="I327" s="34">
        <f>TRUNC(G327*F327,2)</f>
        <v>1.75</v>
      </c>
      <c r="J327" s="34"/>
      <c r="K327" s="34"/>
      <c r="L327" s="224"/>
      <c r="M327" s="225"/>
      <c r="N327" s="113"/>
      <c r="O327" s="225"/>
      <c r="P327" s="113"/>
      <c r="Q327" s="225"/>
      <c r="R327" s="64"/>
      <c r="S327" s="29"/>
      <c r="T327" s="29"/>
      <c r="U327" s="6"/>
    </row>
    <row r="328" spans="1:21" ht="16.5" customHeight="1" x14ac:dyDescent="0.25">
      <c r="A328" s="299" t="s">
        <v>254</v>
      </c>
      <c r="B328" s="300" t="s">
        <v>18</v>
      </c>
      <c r="C328" s="39">
        <v>97641</v>
      </c>
      <c r="D328" s="25" t="s">
        <v>342</v>
      </c>
      <c r="E328" s="24" t="s">
        <v>116</v>
      </c>
      <c r="F328" s="197">
        <f>'Planilha Analítica'!F85</f>
        <v>145</v>
      </c>
      <c r="G328" s="89"/>
      <c r="H328" s="92">
        <f>SUM(H329:H330)</f>
        <v>0</v>
      </c>
      <c r="I328" s="92">
        <f>SUM(I329:I330)</f>
        <v>3.38</v>
      </c>
      <c r="J328" s="92">
        <f>I328+H328</f>
        <v>3.38</v>
      </c>
      <c r="K328" s="92">
        <f>ROUND(H328*$F328,2)</f>
        <v>0</v>
      </c>
      <c r="L328" s="92">
        <f>ROUND(I328*$F328,2)</f>
        <v>490.1</v>
      </c>
      <c r="M328" s="100">
        <f>L328+K328</f>
        <v>490.1</v>
      </c>
      <c r="N328" s="112">
        <f>$K$5</f>
        <v>0.2111176002216073</v>
      </c>
      <c r="O328" s="100">
        <f>ROUND(H328*(1+$N328),2)</f>
        <v>0</v>
      </c>
      <c r="P328" s="112">
        <f>$J$5</f>
        <v>0.26838623884514634</v>
      </c>
      <c r="Q328" s="100">
        <f>ROUND(I328*(1+$P328),2)</f>
        <v>4.29</v>
      </c>
      <c r="R328" s="28">
        <f>ROUND(O328*$F328,2)</f>
        <v>0</v>
      </c>
      <c r="S328" s="28">
        <f>ROUND(Q328*$F328,2)</f>
        <v>622.04999999999995</v>
      </c>
      <c r="T328" s="28">
        <f>S328+R328</f>
        <v>622.04999999999995</v>
      </c>
      <c r="U328" s="6"/>
    </row>
    <row r="329" spans="1:21" ht="16.5" customHeight="1" x14ac:dyDescent="0.25">
      <c r="A329" s="303" t="s">
        <v>285</v>
      </c>
      <c r="B329" s="304" t="s">
        <v>18</v>
      </c>
      <c r="C329" s="40">
        <v>88269</v>
      </c>
      <c r="D329" s="27" t="s">
        <v>25</v>
      </c>
      <c r="E329" s="26" t="s">
        <v>118</v>
      </c>
      <c r="F329" s="195">
        <v>3.3599999999999998E-2</v>
      </c>
      <c r="G329" s="34">
        <v>29.01</v>
      </c>
      <c r="H329" s="34"/>
      <c r="I329" s="34">
        <f>TRUNC(G329*F329,2)</f>
        <v>0.97</v>
      </c>
      <c r="J329" s="34"/>
      <c r="K329" s="34"/>
      <c r="L329" s="94"/>
      <c r="M329" s="101"/>
      <c r="N329" s="113"/>
      <c r="O329" s="101"/>
      <c r="P329" s="113"/>
      <c r="Q329" s="101"/>
      <c r="R329" s="64"/>
      <c r="S329" s="29"/>
      <c r="T329" s="29"/>
      <c r="U329" s="6"/>
    </row>
    <row r="330" spans="1:21" ht="16.5" customHeight="1" x14ac:dyDescent="0.25">
      <c r="A330" s="303" t="s">
        <v>285</v>
      </c>
      <c r="B330" s="304" t="s">
        <v>18</v>
      </c>
      <c r="C330" s="40">
        <v>88316</v>
      </c>
      <c r="D330" s="21" t="s">
        <v>28</v>
      </c>
      <c r="E330" s="26" t="s">
        <v>118</v>
      </c>
      <c r="F330" s="195">
        <v>9.5100000000000004E-2</v>
      </c>
      <c r="G330" s="34">
        <v>25.43</v>
      </c>
      <c r="H330" s="34"/>
      <c r="I330" s="34">
        <f>TRUNC(G330*F330,2)</f>
        <v>2.41</v>
      </c>
      <c r="J330" s="34"/>
      <c r="K330" s="34"/>
      <c r="L330" s="94"/>
      <c r="M330" s="101"/>
      <c r="N330" s="113"/>
      <c r="O330" s="101"/>
      <c r="P330" s="113"/>
      <c r="Q330" s="101"/>
      <c r="R330" s="64"/>
      <c r="S330" s="29"/>
      <c r="T330" s="29"/>
      <c r="U330" s="6"/>
    </row>
    <row r="331" spans="1:21" ht="31.5" customHeight="1" x14ac:dyDescent="0.25">
      <c r="A331" s="299" t="s">
        <v>256</v>
      </c>
      <c r="B331" s="300" t="s">
        <v>18</v>
      </c>
      <c r="C331" s="183">
        <v>96113</v>
      </c>
      <c r="D331" s="25" t="s">
        <v>392</v>
      </c>
      <c r="E331" s="24" t="s">
        <v>116</v>
      </c>
      <c r="F331" s="197">
        <f>'Planilha Analítica'!F86</f>
        <v>145</v>
      </c>
      <c r="G331" s="89"/>
      <c r="H331" s="92">
        <f>SUM(H332:H332)</f>
        <v>33.909999999999997</v>
      </c>
      <c r="I331" s="92">
        <f>SUM(I332:I332)</f>
        <v>14.53</v>
      </c>
      <c r="J331" s="92">
        <f>I331+H331</f>
        <v>48.44</v>
      </c>
      <c r="K331" s="92">
        <f>ROUND(H331*$F331,2)</f>
        <v>4916.95</v>
      </c>
      <c r="L331" s="92">
        <f>ROUND(I331*$F331,2)</f>
        <v>2106.85</v>
      </c>
      <c r="M331" s="100">
        <f>L331+K331</f>
        <v>7023.7999999999993</v>
      </c>
      <c r="N331" s="112">
        <f>$K$5</f>
        <v>0.2111176002216073</v>
      </c>
      <c r="O331" s="100">
        <f>ROUND(H331*(1+$N331),2)</f>
        <v>41.07</v>
      </c>
      <c r="P331" s="112">
        <f>$J$5</f>
        <v>0.26838623884514634</v>
      </c>
      <c r="Q331" s="100">
        <f>ROUND(I331*(1+$P331),2)</f>
        <v>18.43</v>
      </c>
      <c r="R331" s="28">
        <f>ROUND(O331*$F331,2)</f>
        <v>5955.15</v>
      </c>
      <c r="S331" s="28">
        <f>ROUND(Q331*$F331,2)</f>
        <v>2672.35</v>
      </c>
      <c r="T331" s="28">
        <f>S331+R331</f>
        <v>8627.5</v>
      </c>
      <c r="U331" s="6"/>
    </row>
    <row r="332" spans="1:21" x14ac:dyDescent="0.25">
      <c r="A332" s="303" t="s">
        <v>284</v>
      </c>
      <c r="B332" s="304" t="s">
        <v>18</v>
      </c>
      <c r="C332" s="235">
        <v>96113</v>
      </c>
      <c r="D332" s="21" t="s">
        <v>391</v>
      </c>
      <c r="E332" s="26" t="s">
        <v>116</v>
      </c>
      <c r="F332" s="195">
        <v>1</v>
      </c>
      <c r="G332" s="34">
        <v>48.45</v>
      </c>
      <c r="H332" s="93">
        <f>TRUNC(G332*0.7,2)</f>
        <v>33.909999999999997</v>
      </c>
      <c r="I332" s="93">
        <f>TRUNC(G332*0.3,2)</f>
        <v>14.53</v>
      </c>
      <c r="J332" s="93"/>
      <c r="K332" s="93"/>
      <c r="L332" s="94"/>
      <c r="M332" s="101"/>
      <c r="N332" s="113"/>
      <c r="O332" s="101"/>
      <c r="P332" s="113"/>
      <c r="Q332" s="101"/>
      <c r="R332" s="64"/>
      <c r="S332" s="29"/>
      <c r="T332" s="29"/>
      <c r="U332" s="6"/>
    </row>
    <row r="333" spans="1:21" ht="16.5" customHeight="1" x14ac:dyDescent="0.25">
      <c r="A333" s="315" t="s">
        <v>259</v>
      </c>
      <c r="B333" s="300" t="s">
        <v>18</v>
      </c>
      <c r="C333" s="269">
        <v>97064</v>
      </c>
      <c r="D333" s="220" t="s">
        <v>263</v>
      </c>
      <c r="E333" s="221" t="s">
        <v>117</v>
      </c>
      <c r="F333" s="343">
        <f>'Planilha Analítica'!F87</f>
        <v>45</v>
      </c>
      <c r="G333" s="222"/>
      <c r="H333" s="92">
        <f>SUM(H334:H336)</f>
        <v>0</v>
      </c>
      <c r="I333" s="92">
        <f>SUM(I334:I336)</f>
        <v>21.36</v>
      </c>
      <c r="J333" s="92">
        <f>I333+H333</f>
        <v>21.36</v>
      </c>
      <c r="K333" s="92">
        <f>ROUND(H333*$F333,2)</f>
        <v>0</v>
      </c>
      <c r="L333" s="92">
        <f>ROUND(I333*$F333,2)</f>
        <v>961.2</v>
      </c>
      <c r="M333" s="100">
        <f>L333+K333</f>
        <v>961.2</v>
      </c>
      <c r="N333" s="112">
        <f>$K$5</f>
        <v>0.2111176002216073</v>
      </c>
      <c r="O333" s="100">
        <f>ROUND(H333*(1+$N333),2)</f>
        <v>0</v>
      </c>
      <c r="P333" s="112">
        <f>$J$5</f>
        <v>0.26838623884514634</v>
      </c>
      <c r="Q333" s="100">
        <f>ROUND(I333*(1+$P333),2)</f>
        <v>27.09</v>
      </c>
      <c r="R333" s="28">
        <f>ROUND(O333*$F333,2)</f>
        <v>0</v>
      </c>
      <c r="S333" s="28">
        <f>ROUND(Q333*$F333,2)</f>
        <v>1219.05</v>
      </c>
      <c r="T333" s="28">
        <f>S333+R333</f>
        <v>1219.05</v>
      </c>
      <c r="U333" s="6"/>
    </row>
    <row r="334" spans="1:21" ht="16.5" customHeight="1" x14ac:dyDescent="0.25">
      <c r="A334" s="303" t="s">
        <v>285</v>
      </c>
      <c r="B334" s="305" t="s">
        <v>18</v>
      </c>
      <c r="C334" s="223">
        <v>88278</v>
      </c>
      <c r="D334" s="23" t="s">
        <v>26</v>
      </c>
      <c r="E334" s="26" t="s">
        <v>118</v>
      </c>
      <c r="F334" s="344">
        <v>0.5</v>
      </c>
      <c r="G334" s="182">
        <v>25.14</v>
      </c>
      <c r="H334" s="34"/>
      <c r="I334" s="34">
        <f>TRUNC(G334*F334,2)</f>
        <v>12.57</v>
      </c>
      <c r="J334" s="34"/>
      <c r="K334" s="34"/>
      <c r="L334" s="224"/>
      <c r="M334" s="225"/>
      <c r="N334" s="113"/>
      <c r="O334" s="225"/>
      <c r="P334" s="113"/>
      <c r="Q334" s="225"/>
      <c r="R334" s="64"/>
      <c r="S334" s="29"/>
      <c r="T334" s="29"/>
      <c r="U334" s="6"/>
    </row>
    <row r="335" spans="1:21" ht="16.5" customHeight="1" x14ac:dyDescent="0.25">
      <c r="A335" s="303" t="s">
        <v>285</v>
      </c>
      <c r="B335" s="306" t="s">
        <v>18</v>
      </c>
      <c r="C335" s="226">
        <v>88316</v>
      </c>
      <c r="D335" s="189" t="s">
        <v>28</v>
      </c>
      <c r="E335" s="26" t="s">
        <v>118</v>
      </c>
      <c r="F335" s="345">
        <v>0.1</v>
      </c>
      <c r="G335" s="34">
        <v>25.43</v>
      </c>
      <c r="H335" s="34"/>
      <c r="I335" s="34">
        <f>TRUNC(G335*F335,2)</f>
        <v>2.54</v>
      </c>
      <c r="J335" s="34"/>
      <c r="K335" s="34"/>
      <c r="L335" s="224"/>
      <c r="M335" s="225"/>
      <c r="N335" s="113"/>
      <c r="O335" s="225"/>
      <c r="P335" s="113"/>
      <c r="Q335" s="225"/>
      <c r="R335" s="64"/>
      <c r="S335" s="29"/>
      <c r="T335" s="29"/>
      <c r="U335" s="6"/>
    </row>
    <row r="336" spans="1:21" ht="31.5" customHeight="1" x14ac:dyDescent="0.25">
      <c r="A336" s="303" t="s">
        <v>285</v>
      </c>
      <c r="B336" s="305" t="s">
        <v>18</v>
      </c>
      <c r="C336" s="223">
        <v>100251</v>
      </c>
      <c r="D336" s="23" t="s">
        <v>350</v>
      </c>
      <c r="E336" s="181" t="s">
        <v>122</v>
      </c>
      <c r="F336" s="344">
        <v>0.40200000000000002</v>
      </c>
      <c r="G336" s="182">
        <v>15.55</v>
      </c>
      <c r="H336" s="34"/>
      <c r="I336" s="34">
        <f>TRUNC(G336*F336,2)</f>
        <v>6.25</v>
      </c>
      <c r="J336" s="34"/>
      <c r="K336" s="34"/>
      <c r="L336" s="224"/>
      <c r="M336" s="225"/>
      <c r="N336" s="113"/>
      <c r="O336" s="225"/>
      <c r="P336" s="113"/>
      <c r="Q336" s="225"/>
      <c r="R336" s="64"/>
      <c r="S336" s="29"/>
      <c r="T336" s="29"/>
      <c r="U336" s="6"/>
    </row>
    <row r="337" spans="1:22" ht="33" customHeight="1" x14ac:dyDescent="0.25">
      <c r="A337" s="314" t="s">
        <v>262</v>
      </c>
      <c r="B337" s="316" t="s">
        <v>37</v>
      </c>
      <c r="C337" s="227"/>
      <c r="D337" s="171" t="s">
        <v>325</v>
      </c>
      <c r="E337" s="172" t="s">
        <v>119</v>
      </c>
      <c r="F337" s="341">
        <f>'Planilha Analítica'!F88</f>
        <v>5</v>
      </c>
      <c r="G337" s="180"/>
      <c r="H337" s="173">
        <f>H338</f>
        <v>93.36</v>
      </c>
      <c r="I337" s="173">
        <f>SUM(I339)</f>
        <v>15.25</v>
      </c>
      <c r="J337" s="173">
        <f>I337+H337</f>
        <v>108.61</v>
      </c>
      <c r="K337" s="173">
        <f>ROUND(H337*$F337,2)</f>
        <v>466.8</v>
      </c>
      <c r="L337" s="173">
        <f>ROUND(I337*$F337,2)</f>
        <v>76.25</v>
      </c>
      <c r="M337" s="174">
        <f>L337+K337</f>
        <v>543.04999999999995</v>
      </c>
      <c r="N337" s="112">
        <f>$K$5</f>
        <v>0.2111176002216073</v>
      </c>
      <c r="O337" s="100">
        <f>ROUND(H337*(1+$N337),2)</f>
        <v>113.07</v>
      </c>
      <c r="P337" s="112">
        <f>$J$5</f>
        <v>0.26838623884514634</v>
      </c>
      <c r="Q337" s="174">
        <f>ROUND(I337*(1+$P337),2)</f>
        <v>19.34</v>
      </c>
      <c r="R337" s="175">
        <f>ROUND(O337*$F337,2)</f>
        <v>565.35</v>
      </c>
      <c r="S337" s="175">
        <f>ROUND(Q337*$F337,2)</f>
        <v>96.7</v>
      </c>
      <c r="T337" s="175">
        <f>S337+R337</f>
        <v>662.05000000000007</v>
      </c>
      <c r="U337" s="6"/>
    </row>
    <row r="338" spans="1:22" ht="18" customHeight="1" x14ac:dyDescent="0.25">
      <c r="A338" s="303" t="s">
        <v>284</v>
      </c>
      <c r="B338" s="304" t="s">
        <v>294</v>
      </c>
      <c r="C338" s="250" t="s">
        <v>323</v>
      </c>
      <c r="D338" s="27" t="s">
        <v>324</v>
      </c>
      <c r="E338" s="22" t="s">
        <v>119</v>
      </c>
      <c r="F338" s="195">
        <v>1</v>
      </c>
      <c r="G338" s="34">
        <v>93.36</v>
      </c>
      <c r="H338" s="93">
        <f>TRUNC(G338*F338,2)</f>
        <v>93.36</v>
      </c>
      <c r="I338" s="93"/>
      <c r="J338" s="93"/>
      <c r="K338" s="93"/>
      <c r="L338" s="224"/>
      <c r="M338" s="225"/>
      <c r="N338" s="113"/>
      <c r="O338" s="225"/>
      <c r="P338" s="113"/>
      <c r="Q338" s="225"/>
      <c r="R338" s="64"/>
      <c r="S338" s="29"/>
      <c r="T338" s="29"/>
      <c r="U338" s="6"/>
    </row>
    <row r="339" spans="1:22" ht="18" customHeight="1" x14ac:dyDescent="0.25">
      <c r="A339" s="303" t="s">
        <v>285</v>
      </c>
      <c r="B339" s="305" t="s">
        <v>18</v>
      </c>
      <c r="C339" s="223">
        <v>88316</v>
      </c>
      <c r="D339" s="23" t="s">
        <v>28</v>
      </c>
      <c r="E339" s="26" t="s">
        <v>118</v>
      </c>
      <c r="F339" s="344">
        <v>0.6</v>
      </c>
      <c r="G339" s="34">
        <v>25.43</v>
      </c>
      <c r="H339" s="34"/>
      <c r="I339" s="34">
        <f>TRUNC(G339*F339,2)</f>
        <v>15.25</v>
      </c>
      <c r="J339" s="93"/>
      <c r="K339" s="93"/>
      <c r="L339" s="224"/>
      <c r="M339" s="225"/>
      <c r="N339" s="113"/>
      <c r="O339" s="225"/>
      <c r="P339" s="113"/>
      <c r="Q339" s="225"/>
      <c r="R339" s="64"/>
      <c r="S339" s="29"/>
      <c r="T339" s="29"/>
      <c r="U339" s="6"/>
    </row>
    <row r="340" spans="1:22" ht="16.5" customHeight="1" x14ac:dyDescent="0.25">
      <c r="A340" s="314" t="s">
        <v>452</v>
      </c>
      <c r="B340" s="316" t="s">
        <v>18</v>
      </c>
      <c r="C340" s="227">
        <v>99802</v>
      </c>
      <c r="D340" s="171" t="s">
        <v>40</v>
      </c>
      <c r="E340" s="172" t="s">
        <v>116</v>
      </c>
      <c r="F340" s="341">
        <f>'Planilha Analítica'!F89</f>
        <v>495</v>
      </c>
      <c r="G340" s="180"/>
      <c r="H340" s="180"/>
      <c r="I340" s="180">
        <f>I341</f>
        <v>0.63</v>
      </c>
      <c r="J340" s="173">
        <f>I340+H340</f>
        <v>0.63</v>
      </c>
      <c r="K340" s="173">
        <f>ROUND(H340*$F340,2)</f>
        <v>0</v>
      </c>
      <c r="L340" s="173">
        <f>ROUND(I340*$F340,2)</f>
        <v>311.85000000000002</v>
      </c>
      <c r="M340" s="174">
        <f>L340+K340</f>
        <v>311.85000000000002</v>
      </c>
      <c r="N340" s="112">
        <f>$K$5</f>
        <v>0.2111176002216073</v>
      </c>
      <c r="O340" s="100">
        <f>ROUND(H340*(1+$N340),2)</f>
        <v>0</v>
      </c>
      <c r="P340" s="112">
        <f>$J$5</f>
        <v>0.26838623884514634</v>
      </c>
      <c r="Q340" s="174">
        <f>ROUND(I340*(1+$P340),2)</f>
        <v>0.8</v>
      </c>
      <c r="R340" s="175">
        <f>ROUND(O340*$F340,2)</f>
        <v>0</v>
      </c>
      <c r="S340" s="175">
        <f>ROUND(Q340*$F340,2)</f>
        <v>396</v>
      </c>
      <c r="T340" s="175">
        <f>S340+R340</f>
        <v>396</v>
      </c>
      <c r="U340" s="6"/>
    </row>
    <row r="341" spans="1:22" ht="16.5" customHeight="1" thickBot="1" x14ac:dyDescent="0.3">
      <c r="A341" s="317" t="s">
        <v>285</v>
      </c>
      <c r="B341" s="318" t="s">
        <v>18</v>
      </c>
      <c r="C341" s="230">
        <v>88316</v>
      </c>
      <c r="D341" s="231" t="s">
        <v>28</v>
      </c>
      <c r="E341" s="232" t="s">
        <v>118</v>
      </c>
      <c r="F341" s="275">
        <v>2.5000000000000001E-2</v>
      </c>
      <c r="G341" s="49">
        <v>25.43</v>
      </c>
      <c r="H341" s="49"/>
      <c r="I341" s="49">
        <f>TRUNC(G341*F341,2)</f>
        <v>0.63</v>
      </c>
      <c r="J341" s="49"/>
      <c r="K341" s="49"/>
      <c r="L341" s="233"/>
      <c r="M341" s="234"/>
      <c r="N341" s="114"/>
      <c r="O341" s="234"/>
      <c r="P341" s="114"/>
      <c r="Q341" s="234"/>
      <c r="R341" s="65"/>
      <c r="S341" s="30"/>
      <c r="T341" s="30"/>
      <c r="U341" s="6"/>
    </row>
    <row r="342" spans="1:22" ht="20.25" customHeight="1" x14ac:dyDescent="0.25">
      <c r="C342" s="11"/>
      <c r="D342" s="7"/>
      <c r="E342" s="419" t="s">
        <v>58</v>
      </c>
      <c r="F342" s="420"/>
      <c r="G342" s="420"/>
      <c r="H342" s="420"/>
      <c r="I342" s="421"/>
      <c r="J342" s="159"/>
      <c r="K342" s="122">
        <f>K29</f>
        <v>272508.17000000004</v>
      </c>
      <c r="L342" s="123"/>
      <c r="M342" s="124"/>
      <c r="N342" s="124">
        <f>K5</f>
        <v>0.2111176002216073</v>
      </c>
      <c r="O342" s="125"/>
      <c r="P342" s="267">
        <f>K5</f>
        <v>0.2111176002216073</v>
      </c>
      <c r="Q342" s="125"/>
      <c r="R342" s="126"/>
      <c r="S342" s="127"/>
      <c r="T342" s="127"/>
      <c r="U342" s="63"/>
      <c r="V342" s="95"/>
    </row>
    <row r="343" spans="1:22" ht="20.25" customHeight="1" x14ac:dyDescent="0.25">
      <c r="D343" s="7"/>
      <c r="E343" s="413" t="s">
        <v>59</v>
      </c>
      <c r="F343" s="414"/>
      <c r="G343" s="414"/>
      <c r="H343" s="414"/>
      <c r="I343" s="415"/>
      <c r="J343" s="149"/>
      <c r="K343" s="128">
        <f>K84+K24+K7+K155+K179+K243+K281</f>
        <v>99504.81</v>
      </c>
      <c r="L343" s="129"/>
      <c r="M343" s="130"/>
      <c r="N343" s="112">
        <f>$J$5</f>
        <v>0.26838623884514634</v>
      </c>
      <c r="O343" s="131"/>
      <c r="P343" s="112">
        <f>$J$5</f>
        <v>0.26838623884514634</v>
      </c>
      <c r="Q343" s="131"/>
      <c r="R343" s="131"/>
      <c r="S343" s="132"/>
      <c r="T343" s="132"/>
      <c r="U343" s="63"/>
      <c r="V343" s="63"/>
    </row>
    <row r="344" spans="1:22" ht="20.25" customHeight="1" x14ac:dyDescent="0.25">
      <c r="D344" s="7"/>
      <c r="E344" s="413" t="s">
        <v>60</v>
      </c>
      <c r="F344" s="414"/>
      <c r="G344" s="414"/>
      <c r="H344" s="414"/>
      <c r="I344" s="415"/>
      <c r="J344" s="159"/>
      <c r="K344" s="123"/>
      <c r="L344" s="122">
        <f>L84+L29+L24+L7+L155+L179+L243+L281</f>
        <v>130054.39440000002</v>
      </c>
      <c r="M344" s="124"/>
      <c r="N344" s="112">
        <f>$J$5</f>
        <v>0.26838623884514634</v>
      </c>
      <c r="O344" s="125"/>
      <c r="P344" s="112">
        <f>$J$5</f>
        <v>0.26838623884514634</v>
      </c>
      <c r="Q344" s="125"/>
      <c r="R344" s="126"/>
      <c r="S344" s="127"/>
      <c r="T344" s="127"/>
      <c r="U344" s="63"/>
      <c r="V344" s="63"/>
    </row>
    <row r="345" spans="1:22" ht="20.25" customHeight="1" x14ac:dyDescent="0.25">
      <c r="D345" s="7"/>
      <c r="E345" s="413" t="s">
        <v>67</v>
      </c>
      <c r="F345" s="414"/>
      <c r="G345" s="414"/>
      <c r="H345" s="414"/>
      <c r="I345" s="415"/>
      <c r="J345" s="149"/>
      <c r="K345" s="129"/>
      <c r="L345" s="129"/>
      <c r="M345" s="131"/>
      <c r="N345" s="133"/>
      <c r="O345" s="134"/>
      <c r="P345" s="130"/>
      <c r="Q345" s="131"/>
      <c r="R345" s="134">
        <f>R29</f>
        <v>330039.33999999991</v>
      </c>
      <c r="S345" s="132"/>
      <c r="T345" s="132"/>
      <c r="U345" s="63"/>
      <c r="V345" s="63"/>
    </row>
    <row r="346" spans="1:22" ht="20.25" customHeight="1" x14ac:dyDescent="0.25">
      <c r="D346" s="7"/>
      <c r="E346" s="413" t="s">
        <v>66</v>
      </c>
      <c r="F346" s="414"/>
      <c r="G346" s="414"/>
      <c r="H346" s="414"/>
      <c r="I346" s="415"/>
      <c r="J346" s="149"/>
      <c r="K346" s="129"/>
      <c r="L346" s="129"/>
      <c r="M346" s="131"/>
      <c r="N346" s="133"/>
      <c r="O346" s="134"/>
      <c r="P346" s="130"/>
      <c r="Q346" s="131"/>
      <c r="R346" s="134">
        <f>R84+R155+R24+R7+R179+R243+R281</f>
        <v>120509.01</v>
      </c>
      <c r="S346" s="132"/>
      <c r="T346" s="132"/>
      <c r="U346" s="63"/>
      <c r="V346" s="63"/>
    </row>
    <row r="347" spans="1:22" ht="20.25" customHeight="1" x14ac:dyDescent="0.25">
      <c r="E347" s="413" t="s">
        <v>69</v>
      </c>
      <c r="F347" s="414"/>
      <c r="G347" s="414"/>
      <c r="H347" s="414"/>
      <c r="I347" s="415"/>
      <c r="J347" s="149"/>
      <c r="K347" s="129"/>
      <c r="L347" s="129"/>
      <c r="M347" s="131"/>
      <c r="N347" s="133"/>
      <c r="O347" s="131"/>
      <c r="P347" s="130"/>
      <c r="Q347" s="131"/>
      <c r="R347" s="131"/>
      <c r="S347" s="132">
        <f>S84+S29+S24+S7+S155+S179+S243+S281</f>
        <v>164957.55000000002</v>
      </c>
      <c r="T347" s="132"/>
      <c r="U347" s="63"/>
      <c r="V347" s="95"/>
    </row>
    <row r="348" spans="1:22" ht="27" customHeight="1" thickBot="1" x14ac:dyDescent="0.3">
      <c r="E348" s="416" t="s">
        <v>61</v>
      </c>
      <c r="F348" s="417"/>
      <c r="G348" s="417"/>
      <c r="H348" s="417"/>
      <c r="I348" s="418"/>
      <c r="J348" s="150"/>
      <c r="K348" s="96"/>
      <c r="L348" s="96"/>
      <c r="M348" s="68">
        <f>K342+K343+L344</f>
        <v>502067.37440000009</v>
      </c>
      <c r="N348" s="116"/>
      <c r="O348" s="105"/>
      <c r="P348" s="151"/>
      <c r="Q348" s="105"/>
      <c r="R348" s="68"/>
      <c r="S348" s="13"/>
      <c r="T348" s="13">
        <f>R345+R346+S347</f>
        <v>615505.89999999991</v>
      </c>
      <c r="U348" s="63"/>
      <c r="V348" s="95"/>
    </row>
    <row r="349" spans="1:22" x14ac:dyDescent="0.25">
      <c r="T349" s="91"/>
      <c r="U349" s="63"/>
    </row>
    <row r="350" spans="1:22" x14ac:dyDescent="0.25">
      <c r="M350" s="6"/>
      <c r="S350" s="6"/>
      <c r="T350" s="148"/>
      <c r="U350" s="63"/>
    </row>
    <row r="351" spans="1:22" x14ac:dyDescent="0.25">
      <c r="S351" s="6"/>
      <c r="T351" s="91"/>
      <c r="U351" s="63"/>
    </row>
    <row r="352" spans="1:22" x14ac:dyDescent="0.25">
      <c r="T352" s="91"/>
      <c r="U352" s="63"/>
    </row>
    <row r="353" spans="20:21" x14ac:dyDescent="0.25">
      <c r="T353" s="91"/>
      <c r="U353" s="63"/>
    </row>
    <row r="354" spans="20:21" x14ac:dyDescent="0.25">
      <c r="T354" s="91"/>
      <c r="U354" s="63"/>
    </row>
    <row r="355" spans="20:21" x14ac:dyDescent="0.25">
      <c r="T355" s="91"/>
      <c r="U355" s="63"/>
    </row>
    <row r="356" spans="20:21" x14ac:dyDescent="0.25">
      <c r="T356" s="91"/>
      <c r="U356" s="63"/>
    </row>
    <row r="357" spans="20:21" x14ac:dyDescent="0.25">
      <c r="T357" s="91"/>
      <c r="U357" s="63"/>
    </row>
    <row r="358" spans="20:21" x14ac:dyDescent="0.25">
      <c r="T358" s="91"/>
      <c r="U358" s="63"/>
    </row>
    <row r="359" spans="20:21" x14ac:dyDescent="0.25">
      <c r="T359" s="91"/>
      <c r="U359" s="63"/>
    </row>
    <row r="360" spans="20:21" x14ac:dyDescent="0.25">
      <c r="T360" s="91"/>
      <c r="U360" s="63"/>
    </row>
    <row r="361" spans="20:21" x14ac:dyDescent="0.25">
      <c r="T361" s="91"/>
      <c r="U361" s="63"/>
    </row>
    <row r="362" spans="20:21" x14ac:dyDescent="0.25">
      <c r="T362" s="91"/>
      <c r="U362" s="63"/>
    </row>
    <row r="363" spans="20:21" x14ac:dyDescent="0.25">
      <c r="T363" s="91"/>
      <c r="U363" s="63"/>
    </row>
    <row r="364" spans="20:21" x14ac:dyDescent="0.25">
      <c r="T364" s="91"/>
      <c r="U364" s="63"/>
    </row>
    <row r="365" spans="20:21" x14ac:dyDescent="0.25">
      <c r="T365" s="91"/>
      <c r="U365" s="63"/>
    </row>
    <row r="366" spans="20:21" x14ac:dyDescent="0.25">
      <c r="T366" s="91"/>
      <c r="U366" s="63"/>
    </row>
    <row r="367" spans="20:21" x14ac:dyDescent="0.25">
      <c r="T367" s="91"/>
      <c r="U367" s="63"/>
    </row>
    <row r="368" spans="20:21" x14ac:dyDescent="0.25">
      <c r="T368" s="91"/>
      <c r="U368" s="63"/>
    </row>
    <row r="369" spans="20:21" x14ac:dyDescent="0.25">
      <c r="T369" s="91"/>
      <c r="U369" s="63"/>
    </row>
    <row r="370" spans="20:21" x14ac:dyDescent="0.25">
      <c r="T370" s="91"/>
      <c r="U370" s="63"/>
    </row>
    <row r="371" spans="20:21" x14ac:dyDescent="0.25">
      <c r="T371" s="91"/>
      <c r="U371" s="63"/>
    </row>
  </sheetData>
  <mergeCells count="17">
    <mergeCell ref="A2:D2"/>
    <mergeCell ref="A3:D3"/>
    <mergeCell ref="E2:G2"/>
    <mergeCell ref="E3:T3"/>
    <mergeCell ref="M2:T2"/>
    <mergeCell ref="A4:D4"/>
    <mergeCell ref="A5:D5"/>
    <mergeCell ref="E5:F5"/>
    <mergeCell ref="E4:T4"/>
    <mergeCell ref="L5:T5"/>
    <mergeCell ref="E347:I347"/>
    <mergeCell ref="E348:I348"/>
    <mergeCell ref="E342:I342"/>
    <mergeCell ref="E343:I343"/>
    <mergeCell ref="E344:I344"/>
    <mergeCell ref="E345:I345"/>
    <mergeCell ref="E346:I346"/>
  </mergeCells>
  <printOptions horizontalCentered="1"/>
  <pageMargins left="0.19685039370078741" right="0.19685039370078741" top="0.39370078740157483" bottom="0.19685039370078741" header="0.31496062992125984" footer="0.31496062992125984"/>
  <pageSetup paperSize="8" scale="25" fitToHeight="0" orientation="landscape" r:id="rId1"/>
  <ignoredErrors>
    <ignoredError sqref="E342:I348 G18:M18 G16:M16 G22:H22 G29:M29 F3:T3 F4:T4 H59:T61 H28:T28 H21:T21 H19:T19 H71:T73 H67:T69 H63:T65 G27:M27 G20:M20 L5:T5 F5:H5 E6:T6 N29:T30 J30:M30 G8:M8 E7:M7 E1:T2 E3 E9:F9 E8 O7:T8 E27 O27:T27 E30 E37:F39 E35 J31:T44 E42:F44 E40 E45 E51:G51 E50 H46:T57 E55:G55 E54 E59:G59 E58 E63:G63 E62 E67:G67 E66 E70 E25 O24:T25 E28:F29 F84 O84:T85 I5:K5 E17:F17 E10:T10 E18:E21 G45:T45 E71:G71 E31:G31 E36:G36 E41:G41 E24:M24 H11:T15 E46:F49 J22:M22 E16 O16:T16 O18:T18 O20:T20 E340 H23:T23 E334:F336 E332:F332 J332:T332 O22:T22 E86:F86 E84:E85 E92:F92 E91 O91:T91 E98:F98 E97 O97:T97 E103 O103:T103 E110:F110 E109 O109:T109 E115 O115:T115 E122:F122 E121 O121:T121 E127 O127:T127 E133 O133:T133 E139 O139:T139 E144:T144 E143 O143:T143 E148:T148 E147 O147:T147 E152:T152 E151 O151:T151 E157:T157 E155:M155 E156 O155:T156 E169:F170 E167 O167:T167 E173:F174 E171 O171:T171 E177:F178 O175:T175 E184:F184 E179:M179 E180 O179:T180 E185 O185:T185 E189 O189:T189 E194 O194:T194 E199 O199:T199 E204 O204:T204 E209 O209:T209 E214 O214:T214 E219 O219:T219 E225:F225 E224 O224:T224 E230:F230 E229 O229:T229 E235:F235 E234 O234:T234 E240:T240 E239 O239:T239 E246:F246 E243:M243 O243:T244 E248:F249 E247 O247:T247 E251:F251 E250 O250:T250 E253:F253 E252 O252:T252 E255:F257 E254 O254:T254 E259:T259 E258 O258:T258 E262:T263 E261 O261:T261 E272:F272 E268 O268:T268 H279:T280 E278 O278:T278 E283:F287 E281:M281 E282 O281:T282 E289:F296 E288 O288:T288 E298:F302 E297 O297:T297 E304:F305 E303 O303:T303 E307:F308 E306 O306:T306 E312 O312:T312 E317:F319 E316 O316:T316 E321:F323 E320 O320:T320 E325:F327 E324 O324:T324 E329:F330 E328 O328:T328 E331 O331:T331 E333 O333:T333 E338:F338 E337 O337:T337 O340:T340 G30 G35 G40 G50 G54 G58:T58 G62:T62 G66:T66 G70:T70 E74 G74:T74 E76:E77 G77:T77 E81:F81 E79:E80 G80:T80 G84:M85 G91:M91 G97:M97 G103:M103 G109:M109 G115:M115 G121:M121 G127:M127 G133:M133 G139:M139 G143:M143 G147:M147 G151:M151 G156:M156 G167:M167 G171:M171 G175:M175 G180:M180 G185:M185 G189:M189 G194:M194 G199:M199 G204:M204 G209:M209 G214:M214 G219:M219 G224:M224 G229:M229 G234:M234 G239:M239 G244:M244 G247:M247 G250:M250 G252:M252 G254:M254 G258:M258 G261:M261 G268:M268 G278:M278 G282:M282 G288:M288 G297:M297 G303:M303 G306:M306 G312:M312 G316:M316 G320:M320 G324:M324 G328:M328 G331:M331 G333:M333 G337:M337 G340:M340 G25 J25:M25 E175:E176 E78:F78 E75:F75 E244:E245 E220:F220 E314:F315 H75:T76 H78:T79 H9:T9 E11:F15 E32:F34 H30:I44 E52:F53 E56:F57 E60:F61 E64:F65 E68:F69 E72:F73 E82:F83 H82:T83 E87:F90 H87:T90 E93:F96 H93:T96 E99:F102 H99:T102 E104:F108 E111:F114 H111:T114 E116:F120 E123:F126 H123:T126 E128:F132 E134:F138 H104:T108 H116:T120 H128:T132 H134:T138 E140:F142 H140:T142 E145:F146 H145:T146 E149:F150 H149:T150 E153:F154 H153:T154 E158:F162 H158:T162 H168:T170 H172:T174 H176:T178 E181:F183 H181:T183 E186:F188 H186:T188 E190:F193 E215:F218 E222:F223 H220:T223 E227:F228 E232:F233 E237:F238 E241:F242 H241:T242 H190:T193 E195:F198 H195:T198 E200:F203 H200:T203 E205:F208 H205:T208 E210:F213 H210:T213 H215:T218 H225:T228 H230:T233 H235:T238 H245:T246 H248:T249 H251:T251 H253:T253 H255:T257 E260:F260 H260:T260 E266:F267 H266:T267 E276:F277 H276:T277 E265:F265 E264:F264 H264:T264 E274:F274 H273:T273 E269:T270 H272:T272 H283:T287 H289:T296 H298:T302 H304:T305 H307:T308 E313:F313 H313:T313 H314:T315 H317:T319 H321:T323 H325:T327 H329:T330 H334:T336 E339:F339 H339:T339 H338:T338 H81:T81 H17:T17 H86:T86 H122:T122 H110:T110 H98:T98 H92:T92 H184:T184 H265:T265 E275:F275 H275:T275 H274:T27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8CBC-09CE-4B0D-B2D8-E0DC6A6421AB}">
  <sheetPr>
    <pageSetUpPr fitToPage="1"/>
  </sheetPr>
  <dimension ref="A1:B49"/>
  <sheetViews>
    <sheetView zoomScale="90" zoomScaleNormal="90" workbookViewId="0">
      <selection activeCell="G36" sqref="G36"/>
    </sheetView>
  </sheetViews>
  <sheetFormatPr defaultRowHeight="15" x14ac:dyDescent="0.25"/>
  <cols>
    <col min="1" max="1" width="86.42578125" customWidth="1"/>
    <col min="2" max="2" width="27.42578125" customWidth="1"/>
  </cols>
  <sheetData>
    <row r="1" spans="1:2" x14ac:dyDescent="0.25">
      <c r="A1" s="455"/>
      <c r="B1" s="456"/>
    </row>
    <row r="2" spans="1:2" ht="18" x14ac:dyDescent="0.25">
      <c r="A2" s="457" t="s">
        <v>443</v>
      </c>
      <c r="B2" s="458"/>
    </row>
    <row r="3" spans="1:2" ht="4.5" customHeight="1" x14ac:dyDescent="0.25">
      <c r="A3" s="459"/>
      <c r="B3" s="460"/>
    </row>
    <row r="4" spans="1:2" ht="15.75" x14ac:dyDescent="0.25">
      <c r="A4" s="461" t="s">
        <v>444</v>
      </c>
      <c r="B4" s="462"/>
    </row>
    <row r="5" spans="1:2" ht="15.75" x14ac:dyDescent="0.25">
      <c r="A5" s="463" t="s">
        <v>445</v>
      </c>
      <c r="B5" s="462"/>
    </row>
    <row r="6" spans="1:2" ht="16.5" thickBot="1" x14ac:dyDescent="0.3">
      <c r="A6" s="204"/>
      <c r="B6" s="205"/>
    </row>
    <row r="7" spans="1:2" ht="15.75" thickBot="1" x14ac:dyDescent="0.3">
      <c r="A7" s="453" t="s">
        <v>91</v>
      </c>
      <c r="B7" s="454"/>
    </row>
    <row r="8" spans="1:2" ht="15.75" thickBot="1" x14ac:dyDescent="0.3">
      <c r="A8" s="206" t="s">
        <v>92</v>
      </c>
      <c r="B8" s="207"/>
    </row>
    <row r="9" spans="1:2" ht="15.75" thickBot="1" x14ac:dyDescent="0.3">
      <c r="A9" s="208" t="s">
        <v>93</v>
      </c>
      <c r="B9" s="209">
        <v>0.04</v>
      </c>
    </row>
    <row r="10" spans="1:2" ht="15.75" thickBot="1" x14ac:dyDescent="0.3">
      <c r="A10" s="208" t="s">
        <v>94</v>
      </c>
      <c r="B10" s="209">
        <v>7.3999999999999996E-2</v>
      </c>
    </row>
    <row r="11" spans="1:2" ht="15.75" thickBot="1" x14ac:dyDescent="0.3">
      <c r="A11" s="208" t="s">
        <v>95</v>
      </c>
      <c r="B11" s="245">
        <f>(1+(12.75)/100)^(21/252)-1</f>
        <v>1.0050402122422808E-2</v>
      </c>
    </row>
    <row r="12" spans="1:2" ht="15.75" thickBot="1" x14ac:dyDescent="0.3">
      <c r="A12" s="208" t="s">
        <v>96</v>
      </c>
      <c r="B12" s="209">
        <v>8.0000000000000002E-3</v>
      </c>
    </row>
    <row r="13" spans="1:2" ht="15.75" thickBot="1" x14ac:dyDescent="0.3">
      <c r="A13" s="208" t="s">
        <v>97</v>
      </c>
      <c r="B13" s="209">
        <v>1.2699999999999999E-2</v>
      </c>
    </row>
    <row r="14" spans="1:2" ht="15.75" thickBot="1" x14ac:dyDescent="0.3">
      <c r="A14" s="208" t="s">
        <v>98</v>
      </c>
      <c r="B14" s="209">
        <f>B15+B16+B17+B18</f>
        <v>9.2830637509742756E-2</v>
      </c>
    </row>
    <row r="15" spans="1:2" ht="15.75" thickBot="1" x14ac:dyDescent="0.3">
      <c r="A15" s="210" t="s">
        <v>99</v>
      </c>
      <c r="B15" s="245">
        <f>B39</f>
        <v>1.1330637509742761E-2</v>
      </c>
    </row>
    <row r="16" spans="1:2" ht="15.75" thickBot="1" x14ac:dyDescent="0.3">
      <c r="A16" s="210" t="s">
        <v>100</v>
      </c>
      <c r="B16" s="209">
        <v>6.4999999999999997E-3</v>
      </c>
    </row>
    <row r="17" spans="1:2" ht="15.75" thickBot="1" x14ac:dyDescent="0.3">
      <c r="A17" s="210" t="s">
        <v>101</v>
      </c>
      <c r="B17" s="209">
        <v>0.03</v>
      </c>
    </row>
    <row r="18" spans="1:2" ht="15.75" thickBot="1" x14ac:dyDescent="0.3">
      <c r="A18" s="210" t="s">
        <v>102</v>
      </c>
      <c r="B18" s="209">
        <v>4.4999999999999998E-2</v>
      </c>
    </row>
    <row r="19" spans="1:2" ht="15.75" thickBot="1" x14ac:dyDescent="0.3">
      <c r="A19" s="211" t="s">
        <v>103</v>
      </c>
      <c r="B19" s="212" t="s">
        <v>104</v>
      </c>
    </row>
    <row r="20" spans="1:2" ht="15.75" thickBot="1" x14ac:dyDescent="0.3">
      <c r="A20" s="213" t="s">
        <v>105</v>
      </c>
      <c r="B20" s="214">
        <f>(((1+B9+B12+B13)*(1+B11)*(1+B10)/(1-B14))-1)*100</f>
        <v>26.838623884514632</v>
      </c>
    </row>
    <row r="21" spans="1:2" ht="15.75" thickBot="1" x14ac:dyDescent="0.3">
      <c r="A21" s="443" t="s">
        <v>106</v>
      </c>
      <c r="B21" s="444"/>
    </row>
    <row r="22" spans="1:2" ht="15.75" thickBot="1" x14ac:dyDescent="0.3">
      <c r="A22" s="206" t="s">
        <v>92</v>
      </c>
      <c r="B22" s="207"/>
    </row>
    <row r="23" spans="1:2" ht="15.75" thickBot="1" x14ac:dyDescent="0.3">
      <c r="A23" s="208" t="s">
        <v>93</v>
      </c>
      <c r="B23" s="209">
        <v>3.4500000000000003E-2</v>
      </c>
    </row>
    <row r="24" spans="1:2" ht="15.75" thickBot="1" x14ac:dyDescent="0.3">
      <c r="A24" s="208" t="s">
        <v>94</v>
      </c>
      <c r="B24" s="209">
        <v>5.11E-2</v>
      </c>
    </row>
    <row r="25" spans="1:2" ht="15.75" thickBot="1" x14ac:dyDescent="0.3">
      <c r="A25" s="215" t="s">
        <v>95</v>
      </c>
      <c r="B25" s="245">
        <f>B11</f>
        <v>1.0050402122422808E-2</v>
      </c>
    </row>
    <row r="26" spans="1:2" ht="15.75" thickBot="1" x14ac:dyDescent="0.3">
      <c r="A26" s="208" t="s">
        <v>96</v>
      </c>
      <c r="B26" s="209">
        <v>4.7999999999999996E-3</v>
      </c>
    </row>
    <row r="27" spans="1:2" ht="15.75" thickBot="1" x14ac:dyDescent="0.3">
      <c r="A27" s="208" t="s">
        <v>97</v>
      </c>
      <c r="B27" s="209">
        <v>8.5000000000000006E-3</v>
      </c>
    </row>
    <row r="28" spans="1:2" ht="15.75" thickBot="1" x14ac:dyDescent="0.3">
      <c r="A28" s="208" t="s">
        <v>107</v>
      </c>
      <c r="B28" s="209">
        <f>B29+B30+B31+B32</f>
        <v>8.1499999999999989E-2</v>
      </c>
    </row>
    <row r="29" spans="1:2" ht="15.75" thickBot="1" x14ac:dyDescent="0.3">
      <c r="A29" s="210" t="s">
        <v>102</v>
      </c>
      <c r="B29" s="209">
        <f>B18</f>
        <v>4.4999999999999998E-2</v>
      </c>
    </row>
    <row r="30" spans="1:2" ht="15.75" thickBot="1" x14ac:dyDescent="0.3">
      <c r="A30" s="210" t="s">
        <v>99</v>
      </c>
      <c r="B30" s="209">
        <v>0</v>
      </c>
    </row>
    <row r="31" spans="1:2" ht="15.75" thickBot="1" x14ac:dyDescent="0.3">
      <c r="A31" s="210" t="s">
        <v>100</v>
      </c>
      <c r="B31" s="209">
        <v>6.4999999999999997E-3</v>
      </c>
    </row>
    <row r="32" spans="1:2" ht="15.75" thickBot="1" x14ac:dyDescent="0.3">
      <c r="A32" s="210" t="s">
        <v>101</v>
      </c>
      <c r="B32" s="209">
        <v>0.03</v>
      </c>
    </row>
    <row r="33" spans="1:2" ht="15.75" thickBot="1" x14ac:dyDescent="0.3">
      <c r="A33" s="211" t="s">
        <v>103</v>
      </c>
      <c r="B33" s="212" t="s">
        <v>104</v>
      </c>
    </row>
    <row r="34" spans="1:2" ht="15.75" thickBot="1" x14ac:dyDescent="0.3">
      <c r="A34" s="213" t="s">
        <v>105</v>
      </c>
      <c r="B34" s="214">
        <f>(((1+B23+B26+B27)*(1+B25)*(1+B24)/(1-B28))-1)*100</f>
        <v>21.11176002216073</v>
      </c>
    </row>
    <row r="35" spans="1:2" ht="15.75" thickBot="1" x14ac:dyDescent="0.3"/>
    <row r="36" spans="1:2" ht="15.75" thickBot="1" x14ac:dyDescent="0.3">
      <c r="A36" s="216" t="s">
        <v>124</v>
      </c>
      <c r="B36" s="243">
        <f>'Planilha Analítica'!K92</f>
        <v>130050.27000000002</v>
      </c>
    </row>
    <row r="37" spans="1:2" ht="15.75" thickBot="1" x14ac:dyDescent="0.3">
      <c r="A37" s="216" t="s">
        <v>282</v>
      </c>
      <c r="B37" s="243">
        <f>'Planilha Analítica'!L96-'Planilha Analítica'!J90</f>
        <v>229555.08000000002</v>
      </c>
    </row>
    <row r="38" spans="1:2" ht="15.75" thickBot="1" x14ac:dyDescent="0.3">
      <c r="A38" s="216" t="s">
        <v>123</v>
      </c>
      <c r="B38" s="217">
        <f>B36/B37</f>
        <v>0.56653187548713801</v>
      </c>
    </row>
    <row r="39" spans="1:2" ht="15.75" thickBot="1" x14ac:dyDescent="0.3">
      <c r="A39" s="216" t="s">
        <v>125</v>
      </c>
      <c r="B39" s="217">
        <f>0.02*B38</f>
        <v>1.1330637509742761E-2</v>
      </c>
    </row>
    <row r="40" spans="1:2" ht="15.75" thickBot="1" x14ac:dyDescent="0.3"/>
    <row r="41" spans="1:2" ht="15.75" thickBot="1" x14ac:dyDescent="0.3">
      <c r="A41" s="445" t="s">
        <v>108</v>
      </c>
      <c r="B41" s="446"/>
    </row>
    <row r="42" spans="1:2" x14ac:dyDescent="0.25">
      <c r="A42" s="447" t="s">
        <v>357</v>
      </c>
      <c r="B42" s="448"/>
    </row>
    <row r="43" spans="1:2" ht="15" customHeight="1" x14ac:dyDescent="0.25">
      <c r="A43" s="451" t="s">
        <v>455</v>
      </c>
      <c r="B43" s="452"/>
    </row>
    <row r="44" spans="1:2" x14ac:dyDescent="0.25">
      <c r="A44" s="451"/>
      <c r="B44" s="452"/>
    </row>
    <row r="45" spans="1:2" x14ac:dyDescent="0.25">
      <c r="A45" s="451"/>
      <c r="B45" s="452"/>
    </row>
    <row r="46" spans="1:2" x14ac:dyDescent="0.25">
      <c r="A46" s="447" t="s">
        <v>109</v>
      </c>
      <c r="B46" s="448"/>
    </row>
    <row r="47" spans="1:2" x14ac:dyDescent="0.25">
      <c r="A47" s="240" t="s">
        <v>110</v>
      </c>
      <c r="B47" s="241"/>
    </row>
    <row r="48" spans="1:2" ht="15.75" thickBot="1" x14ac:dyDescent="0.3">
      <c r="A48" s="449" t="s">
        <v>351</v>
      </c>
      <c r="B48" s="450"/>
    </row>
    <row r="49" spans="1:2" x14ac:dyDescent="0.25">
      <c r="A49" s="242"/>
      <c r="B49" s="242"/>
    </row>
  </sheetData>
  <mergeCells count="12">
    <mergeCell ref="A7:B7"/>
    <mergeCell ref="A1:B1"/>
    <mergeCell ref="A2:B2"/>
    <mergeCell ref="A3:B3"/>
    <mergeCell ref="A4:B4"/>
    <mergeCell ref="A5:B5"/>
    <mergeCell ref="A21:B21"/>
    <mergeCell ref="A41:B41"/>
    <mergeCell ref="A42:B42"/>
    <mergeCell ref="A46:B46"/>
    <mergeCell ref="A48:B48"/>
    <mergeCell ref="A43:B45"/>
  </mergeCells>
  <pageMargins left="0.511811024" right="0.511811024" top="0.78740157499999996" bottom="0.78740157499999996" header="0.31496062000000002" footer="0.31496062000000002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L114"/>
  <sheetViews>
    <sheetView zoomScale="60" zoomScaleNormal="60" workbookViewId="0">
      <selection activeCell="A5" sqref="A5"/>
    </sheetView>
  </sheetViews>
  <sheetFormatPr defaultRowHeight="15" x14ac:dyDescent="0.25"/>
  <cols>
    <col min="1" max="1" width="3.28515625" customWidth="1"/>
    <col min="2" max="2" width="0.5703125" customWidth="1"/>
    <col min="3" max="3" width="109.140625" customWidth="1"/>
    <col min="4" max="4" width="11.85546875" customWidth="1"/>
    <col min="5" max="5" width="9.7109375" customWidth="1"/>
    <col min="6" max="6" width="20.140625" customWidth="1"/>
    <col min="7" max="7" width="20.85546875" customWidth="1"/>
    <col min="8" max="8" width="24.28515625" customWidth="1"/>
    <col min="9" max="9" width="16.28515625" customWidth="1"/>
    <col min="10" max="11" width="13.28515625" customWidth="1"/>
    <col min="12" max="12" width="14.5703125" customWidth="1"/>
    <col min="13" max="14" width="12.7109375" customWidth="1"/>
    <col min="38" max="38" width="9.140625" customWidth="1"/>
  </cols>
  <sheetData>
    <row r="1" spans="2:38" ht="94.5" customHeight="1" thickBot="1" x14ac:dyDescent="0.3">
      <c r="B1" s="392" t="s">
        <v>430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393"/>
      <c r="AL1" s="394"/>
    </row>
    <row r="2" spans="2:38" ht="30" customHeight="1" thickBot="1" x14ac:dyDescent="0.3">
      <c r="B2" s="433" t="s">
        <v>140</v>
      </c>
      <c r="C2" s="434"/>
      <c r="D2" s="434"/>
      <c r="E2" s="435"/>
      <c r="F2" s="398" t="s">
        <v>20</v>
      </c>
      <c r="G2" s="400"/>
      <c r="H2" s="400"/>
      <c r="I2" s="400" t="s">
        <v>0</v>
      </c>
      <c r="J2" s="400"/>
      <c r="K2" s="400"/>
      <c r="L2" s="442"/>
      <c r="M2" s="398" t="s">
        <v>36</v>
      </c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400"/>
      <c r="AF2" s="400"/>
      <c r="AG2" s="400"/>
      <c r="AH2" s="400"/>
      <c r="AI2" s="400"/>
      <c r="AJ2" s="400"/>
      <c r="AK2" s="400"/>
      <c r="AL2" s="442"/>
    </row>
    <row r="3" spans="2:38" ht="30" customHeight="1" thickBot="1" x14ac:dyDescent="0.3">
      <c r="B3" s="422" t="s">
        <v>358</v>
      </c>
      <c r="C3" s="423"/>
      <c r="D3" s="423"/>
      <c r="E3" s="424"/>
      <c r="F3" s="439" t="s">
        <v>327</v>
      </c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40"/>
      <c r="AE3" s="440"/>
      <c r="AF3" s="440"/>
      <c r="AG3" s="440"/>
      <c r="AH3" s="440"/>
      <c r="AI3" s="440"/>
      <c r="AJ3" s="440"/>
      <c r="AK3" s="440"/>
      <c r="AL3" s="441"/>
    </row>
    <row r="4" spans="2:38" ht="30" customHeight="1" thickBot="1" x14ac:dyDescent="0.3">
      <c r="B4" s="422" t="s">
        <v>283</v>
      </c>
      <c r="C4" s="423"/>
      <c r="D4" s="423"/>
      <c r="E4" s="424"/>
      <c r="F4" s="427" t="s">
        <v>454</v>
      </c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8"/>
      <c r="AH4" s="428"/>
      <c r="AI4" s="428"/>
      <c r="AJ4" s="428"/>
      <c r="AK4" s="428"/>
      <c r="AL4" s="429"/>
    </row>
    <row r="5" spans="2:38" ht="30" customHeight="1" thickBot="1" x14ac:dyDescent="0.3">
      <c r="B5" s="422" t="s">
        <v>453</v>
      </c>
      <c r="C5" s="423"/>
      <c r="D5" s="423"/>
      <c r="E5" s="424"/>
      <c r="F5" s="425" t="s">
        <v>328</v>
      </c>
      <c r="G5" s="426"/>
      <c r="H5" s="239"/>
      <c r="I5" s="239"/>
      <c r="J5" s="239"/>
      <c r="K5" s="239"/>
      <c r="L5" s="430" t="s">
        <v>30</v>
      </c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431"/>
      <c r="AL5" s="432"/>
    </row>
    <row r="34" spans="2:14" ht="408" customHeight="1" x14ac:dyDescent="0.25"/>
    <row r="35" spans="2:14" ht="12.75" customHeight="1" x14ac:dyDescent="0.25"/>
    <row r="36" spans="2:14" ht="11.25" customHeight="1" x14ac:dyDescent="0.25"/>
    <row r="37" spans="2:14" ht="10.5" customHeight="1" thickBot="1" x14ac:dyDescent="0.3"/>
    <row r="38" spans="2:14" ht="14.25" customHeight="1" thickBot="1" x14ac:dyDescent="0.3">
      <c r="B38" s="334"/>
      <c r="C38" s="170" t="s">
        <v>5</v>
      </c>
      <c r="D38" s="176" t="s">
        <v>4</v>
      </c>
      <c r="E38" s="176" t="s">
        <v>75</v>
      </c>
      <c r="F38" s="176" t="s">
        <v>130</v>
      </c>
      <c r="G38" s="176" t="s">
        <v>131</v>
      </c>
      <c r="H38" s="160" t="s">
        <v>132</v>
      </c>
      <c r="I38" s="160" t="s">
        <v>41</v>
      </c>
      <c r="J38" s="160" t="s">
        <v>45</v>
      </c>
      <c r="K38" s="161" t="s">
        <v>42</v>
      </c>
      <c r="M38" s="153" t="s">
        <v>43</v>
      </c>
      <c r="N38" s="154" t="s">
        <v>44</v>
      </c>
    </row>
    <row r="39" spans="2:14" ht="11.1" customHeight="1" x14ac:dyDescent="0.25">
      <c r="B39" s="335"/>
      <c r="C39" s="485" t="s">
        <v>425</v>
      </c>
      <c r="D39" s="486" t="s">
        <v>126</v>
      </c>
      <c r="E39" s="486">
        <v>15</v>
      </c>
      <c r="F39" s="487">
        <v>4822.62</v>
      </c>
      <c r="G39" s="487">
        <v>5880.71</v>
      </c>
      <c r="H39" s="488">
        <v>88210.65</v>
      </c>
      <c r="I39" s="489">
        <f>H39/$H$114</f>
        <v>0.14331406084003409</v>
      </c>
      <c r="J39" s="490">
        <f>I39</f>
        <v>0.14331406084003409</v>
      </c>
      <c r="K39" s="491" t="str">
        <f>IF(J39&lt;=$N$39,"A",IF(J39&lt;=$N$40,"B","C"))</f>
        <v>A</v>
      </c>
      <c r="M39" s="155" t="s">
        <v>46</v>
      </c>
      <c r="N39" s="156">
        <v>0.7</v>
      </c>
    </row>
    <row r="40" spans="2:14" ht="11.1" customHeight="1" x14ac:dyDescent="0.25">
      <c r="B40" s="335"/>
      <c r="C40" s="492" t="s">
        <v>138</v>
      </c>
      <c r="D40" s="493" t="s">
        <v>126</v>
      </c>
      <c r="E40" s="493">
        <v>1</v>
      </c>
      <c r="F40" s="494">
        <v>63516.44</v>
      </c>
      <c r="G40" s="494">
        <v>76971.539999999994</v>
      </c>
      <c r="H40" s="495">
        <v>76971.539999999994</v>
      </c>
      <c r="I40" s="496">
        <f>H40/$H$114</f>
        <v>0.12505410589890356</v>
      </c>
      <c r="J40" s="497">
        <f>I40+J39</f>
        <v>0.26836816673893765</v>
      </c>
      <c r="K40" s="498" t="str">
        <f>IF(J40&lt;=$N$39,"A",IF(J40&lt;=$N$40,"B","C"))</f>
        <v>A</v>
      </c>
      <c r="L40" s="157"/>
      <c r="M40" s="162" t="s">
        <v>47</v>
      </c>
      <c r="N40" s="163">
        <v>0.95</v>
      </c>
    </row>
    <row r="41" spans="2:14" ht="11.1" customHeight="1" thickBot="1" x14ac:dyDescent="0.3">
      <c r="B41" s="335"/>
      <c r="C41" s="499" t="s">
        <v>136</v>
      </c>
      <c r="D41" s="500" t="s">
        <v>126</v>
      </c>
      <c r="E41" s="500">
        <v>1</v>
      </c>
      <c r="F41" s="494">
        <v>52643.46</v>
      </c>
      <c r="G41" s="494">
        <v>63803.08</v>
      </c>
      <c r="H41" s="495">
        <v>63803.08</v>
      </c>
      <c r="I41" s="496">
        <f>H41/$H$114</f>
        <v>0.1036595749935134</v>
      </c>
      <c r="J41" s="497">
        <f t="shared" ref="J41:J104" si="0">I41+J40</f>
        <v>0.37202774173245107</v>
      </c>
      <c r="K41" s="498" t="str">
        <f>IF(J41&lt;=$N$39,"A",IF(J41&lt;=$N$40,"B","C"))</f>
        <v>A</v>
      </c>
      <c r="L41" s="157"/>
      <c r="M41" s="164" t="s">
        <v>48</v>
      </c>
      <c r="N41" s="165">
        <v>1</v>
      </c>
    </row>
    <row r="42" spans="2:14" ht="11.1" customHeight="1" x14ac:dyDescent="0.25">
      <c r="B42" s="335"/>
      <c r="C42" s="492" t="s">
        <v>134</v>
      </c>
      <c r="D42" s="493" t="s">
        <v>126</v>
      </c>
      <c r="E42" s="493">
        <v>1</v>
      </c>
      <c r="F42" s="501">
        <v>48665.93</v>
      </c>
      <c r="G42" s="501">
        <v>58985.82</v>
      </c>
      <c r="H42" s="502">
        <v>58985.82</v>
      </c>
      <c r="I42" s="496">
        <f>H42/$H$114</f>
        <v>9.5833069999816348E-2</v>
      </c>
      <c r="J42" s="497">
        <f t="shared" si="0"/>
        <v>0.4678608117322674</v>
      </c>
      <c r="K42" s="498" t="str">
        <f>IF(J42&lt;=$N$39,"A",IF(J42&lt;=$N$40,"B","C"))</f>
        <v>A</v>
      </c>
      <c r="L42" s="157"/>
    </row>
    <row r="43" spans="2:14" ht="11.1" customHeight="1" x14ac:dyDescent="0.25">
      <c r="B43" s="335"/>
      <c r="C43" s="499" t="s">
        <v>374</v>
      </c>
      <c r="D43" s="500" t="s">
        <v>127</v>
      </c>
      <c r="E43" s="500">
        <v>3</v>
      </c>
      <c r="F43" s="501">
        <v>7467</v>
      </c>
      <c r="G43" s="501">
        <v>9471.0400000000009</v>
      </c>
      <c r="H43" s="502">
        <v>28413.119999999999</v>
      </c>
      <c r="I43" s="496">
        <f>H43/$H$114</f>
        <v>4.6162222003070942E-2</v>
      </c>
      <c r="J43" s="497">
        <f t="shared" si="0"/>
        <v>0.51402303373533831</v>
      </c>
      <c r="K43" s="498" t="str">
        <f>IF(J43&lt;=$N$39,"A",IF(J43&lt;=$N$40,"B","C"))</f>
        <v>A</v>
      </c>
      <c r="L43" s="157"/>
      <c r="M43" s="236"/>
      <c r="N43" s="236"/>
    </row>
    <row r="44" spans="2:14" ht="11.1" customHeight="1" x14ac:dyDescent="0.25">
      <c r="B44" s="335"/>
      <c r="C44" s="492" t="s">
        <v>89</v>
      </c>
      <c r="D44" s="493" t="s">
        <v>127</v>
      </c>
      <c r="E44" s="493">
        <v>3</v>
      </c>
      <c r="F44" s="494">
        <v>7285.78</v>
      </c>
      <c r="G44" s="494">
        <v>9241.18</v>
      </c>
      <c r="H44" s="495">
        <v>27723.54</v>
      </c>
      <c r="I44" s="496">
        <f>H44/$H$114</f>
        <v>4.5041875309399931E-2</v>
      </c>
      <c r="J44" s="497">
        <f t="shared" si="0"/>
        <v>0.55906490904473827</v>
      </c>
      <c r="K44" s="498" t="str">
        <f>IF(J44&lt;=$N$39,"A",IF(J44&lt;=$N$40,"B","C"))</f>
        <v>A</v>
      </c>
      <c r="L44" s="157"/>
      <c r="M44" s="237"/>
      <c r="N44" s="238"/>
    </row>
    <row r="45" spans="2:14" ht="11.1" customHeight="1" x14ac:dyDescent="0.25">
      <c r="B45" s="335"/>
      <c r="C45" s="492" t="s">
        <v>360</v>
      </c>
      <c r="D45" s="493" t="s">
        <v>126</v>
      </c>
      <c r="E45" s="493">
        <v>1</v>
      </c>
      <c r="F45" s="494">
        <v>21389.4</v>
      </c>
      <c r="G45" s="494">
        <v>26047.64</v>
      </c>
      <c r="H45" s="495">
        <v>26047.64</v>
      </c>
      <c r="I45" s="496">
        <f>H45/$H$114</f>
        <v>4.2319074439416397E-2</v>
      </c>
      <c r="J45" s="497">
        <f t="shared" si="0"/>
        <v>0.60138398348415467</v>
      </c>
      <c r="K45" s="498" t="str">
        <f>IF(J45&lt;=$N$39,"A",IF(J45&lt;=$N$40,"B","C"))</f>
        <v>A</v>
      </c>
      <c r="L45" s="157"/>
      <c r="M45" s="237"/>
      <c r="N45" s="238"/>
    </row>
    <row r="46" spans="2:14" ht="11.1" customHeight="1" x14ac:dyDescent="0.25">
      <c r="B46" s="335"/>
      <c r="C46" s="499" t="s">
        <v>161</v>
      </c>
      <c r="D46" s="500" t="s">
        <v>117</v>
      </c>
      <c r="E46" s="500">
        <v>132</v>
      </c>
      <c r="F46" s="501">
        <v>118.99</v>
      </c>
      <c r="G46" s="501">
        <v>147.24</v>
      </c>
      <c r="H46" s="502">
        <v>19435.68</v>
      </c>
      <c r="I46" s="496">
        <f>H46/$H$114</f>
        <v>3.1576756615980431E-2</v>
      </c>
      <c r="J46" s="497">
        <f t="shared" si="0"/>
        <v>0.63296074010013514</v>
      </c>
      <c r="K46" s="498" t="str">
        <f>IF(J46&lt;=$N$39,"A",IF(J46&lt;=$N$40,"B","C"))</f>
        <v>A</v>
      </c>
      <c r="L46" s="157"/>
      <c r="M46" s="202"/>
      <c r="N46" s="203"/>
    </row>
    <row r="47" spans="2:14" ht="11.1" customHeight="1" x14ac:dyDescent="0.25">
      <c r="B47" s="335"/>
      <c r="C47" s="499" t="s">
        <v>183</v>
      </c>
      <c r="D47" s="500" t="s">
        <v>116</v>
      </c>
      <c r="E47" s="500">
        <v>65</v>
      </c>
      <c r="F47" s="501">
        <v>238.38</v>
      </c>
      <c r="G47" s="501">
        <v>294.71000000000004</v>
      </c>
      <c r="H47" s="502">
        <v>19156.150000000001</v>
      </c>
      <c r="I47" s="496">
        <f>H47/$H$114</f>
        <v>3.1122609872626713E-2</v>
      </c>
      <c r="J47" s="497">
        <f t="shared" si="0"/>
        <v>0.66408334997276186</v>
      </c>
      <c r="K47" s="498" t="str">
        <f>IF(J47&lt;=$N$39,"A",IF(J47&lt;=$N$40,"B","C"))</f>
        <v>A</v>
      </c>
      <c r="L47" s="157"/>
      <c r="M47" s="202"/>
      <c r="N47" s="203"/>
    </row>
    <row r="48" spans="2:14" ht="11.1" customHeight="1" x14ac:dyDescent="0.25">
      <c r="B48" s="335"/>
      <c r="C48" s="499" t="s">
        <v>268</v>
      </c>
      <c r="D48" s="500" t="s">
        <v>117</v>
      </c>
      <c r="E48" s="500">
        <v>210</v>
      </c>
      <c r="F48" s="501">
        <v>66.44</v>
      </c>
      <c r="G48" s="501">
        <v>82.31</v>
      </c>
      <c r="H48" s="502">
        <v>17285.099999999999</v>
      </c>
      <c r="I48" s="496">
        <f>H48/$H$114</f>
        <v>2.8082752740469244E-2</v>
      </c>
      <c r="J48" s="497">
        <f t="shared" si="0"/>
        <v>0.69216610271323109</v>
      </c>
      <c r="K48" s="498" t="str">
        <f>IF(J48&lt;=$N$39,"A",IF(J48&lt;=$N$40,"B","C"))</f>
        <v>A</v>
      </c>
      <c r="L48" s="157"/>
    </row>
    <row r="49" spans="2:12" ht="11.1" customHeight="1" x14ac:dyDescent="0.25">
      <c r="B49" s="335"/>
      <c r="C49" s="290" t="s">
        <v>369</v>
      </c>
      <c r="D49" s="200" t="s">
        <v>126</v>
      </c>
      <c r="E49" s="200">
        <v>1</v>
      </c>
      <c r="F49" s="186">
        <v>10438.459999999999</v>
      </c>
      <c r="G49" s="186">
        <v>12732.72</v>
      </c>
      <c r="H49" s="187">
        <v>12732.72</v>
      </c>
      <c r="I49" s="276">
        <f>H49/$H$114</f>
        <v>2.0686592931115674E-2</v>
      </c>
      <c r="J49" s="277">
        <f t="shared" si="0"/>
        <v>0.71285269564434672</v>
      </c>
      <c r="K49" s="278" t="str">
        <f>IF(J49&lt;=$N$39,"A",IF(J49&lt;=$N$40,"B","C"))</f>
        <v>B</v>
      </c>
      <c r="L49" s="157"/>
    </row>
    <row r="50" spans="2:12" ht="11.1" customHeight="1" x14ac:dyDescent="0.25">
      <c r="B50" s="335"/>
      <c r="C50" s="290" t="s">
        <v>371</v>
      </c>
      <c r="D50" s="200" t="s">
        <v>126</v>
      </c>
      <c r="E50" s="200">
        <v>15</v>
      </c>
      <c r="F50" s="186">
        <v>657.98</v>
      </c>
      <c r="G50" s="186">
        <v>801.64</v>
      </c>
      <c r="H50" s="187">
        <v>12024.6</v>
      </c>
      <c r="I50" s="276">
        <f>H50/$H$114</f>
        <v>1.9536124674028297E-2</v>
      </c>
      <c r="J50" s="277">
        <f t="shared" si="0"/>
        <v>0.73238882031837504</v>
      </c>
      <c r="K50" s="278" t="str">
        <f>IF(J50&lt;=$N$39,"A",IF(J50&lt;=$N$40,"B","C"))</f>
        <v>B</v>
      </c>
      <c r="L50" s="157"/>
    </row>
    <row r="51" spans="2:12" ht="11.1" customHeight="1" x14ac:dyDescent="0.25">
      <c r="B51" s="335"/>
      <c r="C51" s="290" t="s">
        <v>174</v>
      </c>
      <c r="D51" s="200" t="s">
        <v>117</v>
      </c>
      <c r="E51" s="200">
        <v>34</v>
      </c>
      <c r="F51" s="186">
        <v>281.38</v>
      </c>
      <c r="G51" s="186">
        <v>345.41999999999996</v>
      </c>
      <c r="H51" s="187">
        <v>11744.28</v>
      </c>
      <c r="I51" s="276">
        <f>H51/$H$114</f>
        <v>1.90806944336358E-2</v>
      </c>
      <c r="J51" s="277">
        <f t="shared" si="0"/>
        <v>0.75146951475201085</v>
      </c>
      <c r="K51" s="278" t="str">
        <f>IF(J51&lt;=$N$39,"A",IF(J51&lt;=$N$40,"B","C"))</f>
        <v>B</v>
      </c>
      <c r="L51" s="157"/>
    </row>
    <row r="52" spans="2:12" ht="11.1" customHeight="1" x14ac:dyDescent="0.25">
      <c r="B52" s="335"/>
      <c r="C52" s="325" t="s">
        <v>164</v>
      </c>
      <c r="D52" s="279" t="s">
        <v>117</v>
      </c>
      <c r="E52" s="279">
        <v>54</v>
      </c>
      <c r="F52" s="186">
        <v>147.51999999999998</v>
      </c>
      <c r="G52" s="186">
        <v>181.79</v>
      </c>
      <c r="H52" s="187">
        <v>9816.66</v>
      </c>
      <c r="I52" s="276">
        <f>H52/$H$114</f>
        <v>1.5948929165423099E-2</v>
      </c>
      <c r="J52" s="277">
        <f t="shared" si="0"/>
        <v>0.76741844391743397</v>
      </c>
      <c r="K52" s="278" t="str">
        <f>IF(J52&lt;=$N$39,"A",IF(J52&lt;=$N$40,"B","C"))</f>
        <v>B</v>
      </c>
      <c r="L52" s="157"/>
    </row>
    <row r="53" spans="2:12" ht="11.1" customHeight="1" x14ac:dyDescent="0.25">
      <c r="B53" s="335"/>
      <c r="C53" s="290" t="s">
        <v>156</v>
      </c>
      <c r="D53" s="200" t="s">
        <v>117</v>
      </c>
      <c r="E53" s="200">
        <v>130</v>
      </c>
      <c r="F53" s="186">
        <v>58.230000000000004</v>
      </c>
      <c r="G53" s="186">
        <v>71.89</v>
      </c>
      <c r="H53" s="187">
        <v>9345.7000000000007</v>
      </c>
      <c r="I53" s="276">
        <f>H53/$H$114</f>
        <v>1.5183769968736278E-2</v>
      </c>
      <c r="J53" s="277">
        <f t="shared" si="0"/>
        <v>0.78260221388617024</v>
      </c>
      <c r="K53" s="278" t="str">
        <f>IF(J53&lt;=$N$39,"A",IF(J53&lt;=$N$40,"B","C"))</f>
        <v>B</v>
      </c>
      <c r="L53" s="157"/>
    </row>
    <row r="54" spans="2:12" ht="11.1" customHeight="1" x14ac:dyDescent="0.25">
      <c r="B54" s="335"/>
      <c r="C54" s="290" t="s">
        <v>392</v>
      </c>
      <c r="D54" s="200" t="s">
        <v>116</v>
      </c>
      <c r="E54" s="200">
        <v>145</v>
      </c>
      <c r="F54" s="186">
        <v>48.44</v>
      </c>
      <c r="G54" s="186">
        <v>59.5</v>
      </c>
      <c r="H54" s="187">
        <v>8627.5</v>
      </c>
      <c r="I54" s="276">
        <f>H54/$H$114</f>
        <v>1.4016924939306017E-2</v>
      </c>
      <c r="J54" s="277">
        <f t="shared" si="0"/>
        <v>0.7966191388254763</v>
      </c>
      <c r="K54" s="278" t="str">
        <f>IF(J54&lt;=$N$39,"A",IF(J54&lt;=$N$40,"B","C"))</f>
        <v>B</v>
      </c>
      <c r="L54" s="157"/>
    </row>
    <row r="55" spans="2:12" ht="11.1" customHeight="1" x14ac:dyDescent="0.25">
      <c r="B55" s="335"/>
      <c r="C55" s="325" t="s">
        <v>149</v>
      </c>
      <c r="D55" s="279" t="s">
        <v>126</v>
      </c>
      <c r="E55" s="279">
        <v>5</v>
      </c>
      <c r="F55" s="280">
        <v>1391</v>
      </c>
      <c r="G55" s="280">
        <v>1689.0600000000002</v>
      </c>
      <c r="H55" s="281">
        <v>8445.3000000000011</v>
      </c>
      <c r="I55" s="276">
        <f>H55/$H$114</f>
        <v>1.3720908280489262E-2</v>
      </c>
      <c r="J55" s="277">
        <f t="shared" si="0"/>
        <v>0.81034004710596552</v>
      </c>
      <c r="K55" s="278" t="str">
        <f>IF(J55&lt;=$N$39,"A",IF(J55&lt;=$N$40,"B","C"))</f>
        <v>B</v>
      </c>
      <c r="L55" s="157"/>
    </row>
    <row r="56" spans="2:12" ht="11.1" customHeight="1" x14ac:dyDescent="0.25">
      <c r="B56" s="335"/>
      <c r="C56" s="325" t="s">
        <v>378</v>
      </c>
      <c r="D56" s="279" t="s">
        <v>117</v>
      </c>
      <c r="E56" s="279">
        <v>47</v>
      </c>
      <c r="F56" s="280">
        <v>127.02000000000001</v>
      </c>
      <c r="G56" s="280">
        <v>156.61000000000001</v>
      </c>
      <c r="H56" s="281">
        <v>7360.67</v>
      </c>
      <c r="I56" s="276">
        <f>H56/$H$114</f>
        <v>1.1958731833439771E-2</v>
      </c>
      <c r="J56" s="277">
        <f t="shared" si="0"/>
        <v>0.82229877893940528</v>
      </c>
      <c r="K56" s="278" t="str">
        <f>IF(J56&lt;=$N$39,"A",IF(J56&lt;=$N$40,"B","C"))</f>
        <v>B</v>
      </c>
      <c r="L56" s="157"/>
    </row>
    <row r="57" spans="2:12" ht="11.1" customHeight="1" x14ac:dyDescent="0.25">
      <c r="B57" s="335"/>
      <c r="C57" s="325" t="s">
        <v>267</v>
      </c>
      <c r="D57" s="279" t="s">
        <v>117</v>
      </c>
      <c r="E57" s="279">
        <v>348</v>
      </c>
      <c r="F57" s="186">
        <v>14.530000000000001</v>
      </c>
      <c r="G57" s="186">
        <v>17.88</v>
      </c>
      <c r="H57" s="187">
        <v>6222.24</v>
      </c>
      <c r="I57" s="276">
        <f>H57/$H$114</f>
        <v>1.0109147613369743E-2</v>
      </c>
      <c r="J57" s="277">
        <f t="shared" si="0"/>
        <v>0.83240792655277507</v>
      </c>
      <c r="K57" s="278" t="str">
        <f>IF(J57&lt;=$N$39,"A",IF(J57&lt;=$N$40,"B","C"))</f>
        <v>B</v>
      </c>
      <c r="L57" s="157"/>
    </row>
    <row r="58" spans="2:12" ht="11.1" customHeight="1" x14ac:dyDescent="0.25">
      <c r="B58" s="335"/>
      <c r="C58" s="290" t="s">
        <v>147</v>
      </c>
      <c r="D58" s="200" t="s">
        <v>126</v>
      </c>
      <c r="E58" s="200">
        <v>6</v>
      </c>
      <c r="F58" s="186">
        <v>812.73</v>
      </c>
      <c r="G58" s="186">
        <v>988.71</v>
      </c>
      <c r="H58" s="187">
        <v>5932.26</v>
      </c>
      <c r="I58" s="276">
        <f>H58/$H$114</f>
        <v>9.6380229661486537E-3</v>
      </c>
      <c r="J58" s="277">
        <f t="shared" si="0"/>
        <v>0.84204594951892375</v>
      </c>
      <c r="K58" s="278" t="str">
        <f>IF(J58&lt;=$N$39,"A",IF(J58&lt;=$N$40,"B","C"))</f>
        <v>B</v>
      </c>
      <c r="L58" s="157"/>
    </row>
    <row r="59" spans="2:12" ht="11.1" customHeight="1" x14ac:dyDescent="0.25">
      <c r="B59" s="335"/>
      <c r="C59" s="290" t="s">
        <v>269</v>
      </c>
      <c r="D59" s="200" t="s">
        <v>117</v>
      </c>
      <c r="E59" s="200">
        <v>60</v>
      </c>
      <c r="F59" s="186">
        <v>76.78</v>
      </c>
      <c r="G59" s="186">
        <v>94.84</v>
      </c>
      <c r="H59" s="187">
        <v>5690.4</v>
      </c>
      <c r="I59" s="276">
        <f>H59/$H$114</f>
        <v>9.2450779107072674E-3</v>
      </c>
      <c r="J59" s="277">
        <f t="shared" si="0"/>
        <v>0.85129102742963103</v>
      </c>
      <c r="K59" s="278" t="str">
        <f>IF(J59&lt;=$N$39,"A",IF(J59&lt;=$N$40,"B","C"))</f>
        <v>B</v>
      </c>
      <c r="L59" s="157"/>
    </row>
    <row r="60" spans="2:12" ht="11.1" customHeight="1" x14ac:dyDescent="0.25">
      <c r="B60" s="335"/>
      <c r="C60" s="325" t="s">
        <v>403</v>
      </c>
      <c r="D60" s="279" t="s">
        <v>117</v>
      </c>
      <c r="E60" s="279">
        <v>225</v>
      </c>
      <c r="F60" s="186">
        <v>20.6</v>
      </c>
      <c r="G60" s="186">
        <v>25.119999999999997</v>
      </c>
      <c r="H60" s="187">
        <v>5652</v>
      </c>
      <c r="I60" s="276">
        <f>H60/$H$114</f>
        <v>9.1826902065439125E-3</v>
      </c>
      <c r="J60" s="277">
        <f t="shared" si="0"/>
        <v>0.86047371763617497</v>
      </c>
      <c r="K60" s="278" t="str">
        <f>IF(J60&lt;=$N$39,"A",IF(J60&lt;=$N$40,"B","C"))</f>
        <v>B</v>
      </c>
      <c r="L60" s="157"/>
    </row>
    <row r="61" spans="2:12" ht="11.1" customHeight="1" x14ac:dyDescent="0.25">
      <c r="B61" s="335"/>
      <c r="C61" s="325" t="s">
        <v>172</v>
      </c>
      <c r="D61" s="279" t="s">
        <v>117</v>
      </c>
      <c r="E61" s="279">
        <v>20</v>
      </c>
      <c r="F61" s="280">
        <v>223.68</v>
      </c>
      <c r="G61" s="280">
        <v>275.22000000000003</v>
      </c>
      <c r="H61" s="281">
        <v>5504.4</v>
      </c>
      <c r="I61" s="276">
        <f>H61/$H$114</f>
        <v>8.942887468666014E-3</v>
      </c>
      <c r="J61" s="277">
        <f t="shared" si="0"/>
        <v>0.86941660510484098</v>
      </c>
      <c r="K61" s="278" t="str">
        <f>IF(J61&lt;=$N$39,"A",IF(J61&lt;=$N$40,"B","C"))</f>
        <v>B</v>
      </c>
      <c r="L61" s="157"/>
    </row>
    <row r="62" spans="2:12" ht="11.1" customHeight="1" x14ac:dyDescent="0.25">
      <c r="B62" s="335"/>
      <c r="C62" s="290" t="s">
        <v>330</v>
      </c>
      <c r="D62" s="200" t="s">
        <v>126</v>
      </c>
      <c r="E62" s="200">
        <v>1</v>
      </c>
      <c r="F62" s="186">
        <v>4364.21</v>
      </c>
      <c r="G62" s="186">
        <v>5301.8499999999995</v>
      </c>
      <c r="H62" s="187">
        <v>5301.8499999999995</v>
      </c>
      <c r="I62" s="276">
        <f>H62/$H$114</f>
        <v>8.6138085760022708E-3</v>
      </c>
      <c r="J62" s="277">
        <f t="shared" si="0"/>
        <v>0.87803041368084322</v>
      </c>
      <c r="K62" s="278" t="str">
        <f>IF(J62&lt;=$N$39,"A",IF(J62&lt;=$N$40,"B","C"))</f>
        <v>B</v>
      </c>
      <c r="L62" s="157"/>
    </row>
    <row r="63" spans="2:12" ht="11.1" customHeight="1" x14ac:dyDescent="0.25">
      <c r="B63" s="335"/>
      <c r="C63" s="325" t="s">
        <v>290</v>
      </c>
      <c r="D63" s="279" t="s">
        <v>117</v>
      </c>
      <c r="E63" s="279">
        <v>435</v>
      </c>
      <c r="F63" s="280">
        <v>8.57</v>
      </c>
      <c r="G63" s="280">
        <v>10.57</v>
      </c>
      <c r="H63" s="281">
        <v>4597.9500000000007</v>
      </c>
      <c r="I63" s="276">
        <f>H63/$H$114</f>
        <v>7.4701964676536781E-3</v>
      </c>
      <c r="J63" s="277">
        <f t="shared" si="0"/>
        <v>0.8855006101484969</v>
      </c>
      <c r="K63" s="278" t="str">
        <f>IF(J63&lt;=$N$39,"A",IF(J63&lt;=$N$40,"B","C"))</f>
        <v>B</v>
      </c>
      <c r="L63" s="157"/>
    </row>
    <row r="64" spans="2:12" ht="11.1" customHeight="1" x14ac:dyDescent="0.25">
      <c r="B64" s="335"/>
      <c r="C64" s="325" t="s">
        <v>181</v>
      </c>
      <c r="D64" s="279" t="s">
        <v>126</v>
      </c>
      <c r="E64" s="279">
        <v>15</v>
      </c>
      <c r="F64" s="280">
        <v>249.25</v>
      </c>
      <c r="G64" s="280">
        <v>304.8</v>
      </c>
      <c r="H64" s="281">
        <v>4572</v>
      </c>
      <c r="I64" s="276">
        <f>H64/$H$114</f>
        <v>7.4280360269495345E-3</v>
      </c>
      <c r="J64" s="277">
        <f t="shared" si="0"/>
        <v>0.89292864617544643</v>
      </c>
      <c r="K64" s="278" t="str">
        <f>IF(J64&lt;=$N$39,"A",IF(J64&lt;=$N$40,"B","C"))</f>
        <v>B</v>
      </c>
      <c r="L64" s="157"/>
    </row>
    <row r="65" spans="2:12" ht="11.1" customHeight="1" x14ac:dyDescent="0.25">
      <c r="B65" s="335"/>
      <c r="C65" s="325" t="s">
        <v>384</v>
      </c>
      <c r="D65" s="279" t="s">
        <v>117</v>
      </c>
      <c r="E65" s="279">
        <v>80</v>
      </c>
      <c r="F65" s="280">
        <v>40.99</v>
      </c>
      <c r="G65" s="280">
        <v>50.18</v>
      </c>
      <c r="H65" s="281">
        <v>4014.3999999999996</v>
      </c>
      <c r="I65" s="276">
        <f>H65/$H$114</f>
        <v>6.5221145727441402E-3</v>
      </c>
      <c r="J65" s="277">
        <f t="shared" si="0"/>
        <v>0.89945076074819053</v>
      </c>
      <c r="K65" s="278" t="str">
        <f>IF(J65&lt;=$N$39,"A",IF(J65&lt;=$N$40,"B","C"))</f>
        <v>B</v>
      </c>
      <c r="L65" s="157"/>
    </row>
    <row r="66" spans="2:12" ht="11.1" customHeight="1" x14ac:dyDescent="0.25">
      <c r="B66" s="335"/>
      <c r="C66" s="290" t="s">
        <v>179</v>
      </c>
      <c r="D66" s="200" t="s">
        <v>126</v>
      </c>
      <c r="E66" s="200">
        <v>15</v>
      </c>
      <c r="F66" s="186">
        <v>190.25</v>
      </c>
      <c r="G66" s="186">
        <v>233.35</v>
      </c>
      <c r="H66" s="187">
        <v>3500.25</v>
      </c>
      <c r="I66" s="276">
        <f>H66/$H$114</f>
        <v>5.686785455671502E-3</v>
      </c>
      <c r="J66" s="277">
        <f t="shared" si="0"/>
        <v>0.905137546203862</v>
      </c>
      <c r="K66" s="278" t="str">
        <f>IF(J66&lt;=$N$39,"A",IF(J66&lt;=$N$40,"B","C"))</f>
        <v>B</v>
      </c>
      <c r="L66" s="157"/>
    </row>
    <row r="67" spans="2:12" ht="11.1" customHeight="1" x14ac:dyDescent="0.25">
      <c r="B67" s="335"/>
      <c r="C67" s="290" t="s">
        <v>151</v>
      </c>
      <c r="D67" s="200" t="s">
        <v>126</v>
      </c>
      <c r="E67" s="200">
        <v>5</v>
      </c>
      <c r="F67" s="186">
        <v>567.41999999999996</v>
      </c>
      <c r="G67" s="186">
        <v>691.61</v>
      </c>
      <c r="H67" s="187">
        <v>3458.0499999999997</v>
      </c>
      <c r="I67" s="276">
        <f>H67/$H$114</f>
        <v>5.6182239682836472E-3</v>
      </c>
      <c r="J67" s="277">
        <f t="shared" si="0"/>
        <v>0.9107557701721456</v>
      </c>
      <c r="K67" s="278" t="str">
        <f>IF(J67&lt;=$N$39,"A",IF(J67&lt;=$N$40,"B","C"))</f>
        <v>B</v>
      </c>
      <c r="L67" s="157"/>
    </row>
    <row r="68" spans="2:12" ht="11.1" customHeight="1" x14ac:dyDescent="0.25">
      <c r="B68" s="335"/>
      <c r="C68" s="325" t="s">
        <v>260</v>
      </c>
      <c r="D68" s="279" t="s">
        <v>116</v>
      </c>
      <c r="E68" s="279">
        <v>150</v>
      </c>
      <c r="F68" s="186">
        <v>17.93</v>
      </c>
      <c r="G68" s="186">
        <v>22.16</v>
      </c>
      <c r="H68" s="187">
        <v>3324</v>
      </c>
      <c r="I68" s="276">
        <f>H68/$H$114</f>
        <v>5.4004356416404746E-3</v>
      </c>
      <c r="J68" s="277">
        <f t="shared" si="0"/>
        <v>0.9161562058137861</v>
      </c>
      <c r="K68" s="278" t="str">
        <f>IF(J68&lt;=$N$39,"A",IF(J68&lt;=$N$40,"B","C"))</f>
        <v>B</v>
      </c>
      <c r="L68" s="157"/>
    </row>
    <row r="69" spans="2:12" ht="11.1" customHeight="1" x14ac:dyDescent="0.25">
      <c r="B69" s="335"/>
      <c r="C69" s="325" t="s">
        <v>364</v>
      </c>
      <c r="D69" s="279" t="s">
        <v>126</v>
      </c>
      <c r="E69" s="279">
        <v>15</v>
      </c>
      <c r="F69" s="186">
        <v>172.35000000000002</v>
      </c>
      <c r="G69" s="186">
        <v>214.05</v>
      </c>
      <c r="H69" s="187">
        <v>3210.75</v>
      </c>
      <c r="I69" s="276">
        <f>H69/$H$114</f>
        <v>5.2164406547524529E-3</v>
      </c>
      <c r="J69" s="277">
        <f t="shared" si="0"/>
        <v>0.92137264646853856</v>
      </c>
      <c r="K69" s="278" t="str">
        <f>IF(J69&lt;=$N$39,"A",IF(J69&lt;=$N$40,"B","C"))</f>
        <v>B</v>
      </c>
      <c r="L69" s="157"/>
    </row>
    <row r="70" spans="2:12" ht="11.1" customHeight="1" x14ac:dyDescent="0.25">
      <c r="B70" s="335"/>
      <c r="C70" s="325" t="s">
        <v>396</v>
      </c>
      <c r="D70" s="279" t="s">
        <v>395</v>
      </c>
      <c r="E70" s="279">
        <v>3</v>
      </c>
      <c r="F70" s="280">
        <v>811.2</v>
      </c>
      <c r="G70" s="280">
        <v>982.46</v>
      </c>
      <c r="H70" s="281">
        <v>2947.38</v>
      </c>
      <c r="I70" s="276">
        <f>H70/$H$114</f>
        <v>4.788548736900813E-3</v>
      </c>
      <c r="J70" s="277">
        <f t="shared" si="0"/>
        <v>0.92616119520543938</v>
      </c>
      <c r="K70" s="278" t="str">
        <f>IF(J70&lt;=$N$39,"A",IF(J70&lt;=$N$40,"B","C"))</f>
        <v>B</v>
      </c>
      <c r="L70" s="157"/>
    </row>
    <row r="71" spans="2:12" ht="11.1" customHeight="1" x14ac:dyDescent="0.25">
      <c r="B71" s="335"/>
      <c r="C71" s="290" t="s">
        <v>169</v>
      </c>
      <c r="D71" s="200" t="s">
        <v>117</v>
      </c>
      <c r="E71" s="200">
        <v>10</v>
      </c>
      <c r="F71" s="186">
        <v>216.58999999999997</v>
      </c>
      <c r="G71" s="186">
        <v>266.63</v>
      </c>
      <c r="H71" s="187">
        <v>2666.3</v>
      </c>
      <c r="I71" s="276">
        <f>H71/$H$114</f>
        <v>4.331883739863417E-3</v>
      </c>
      <c r="J71" s="277">
        <f t="shared" si="0"/>
        <v>0.93049307894530275</v>
      </c>
      <c r="K71" s="278" t="str">
        <f>IF(J71&lt;=$N$39,"A",IF(J71&lt;=$N$40,"B","C"))</f>
        <v>B</v>
      </c>
      <c r="L71" s="157"/>
    </row>
    <row r="72" spans="2:12" ht="11.1" customHeight="1" x14ac:dyDescent="0.25">
      <c r="B72" s="335"/>
      <c r="C72" s="290" t="s">
        <v>216</v>
      </c>
      <c r="D72" s="200" t="s">
        <v>126</v>
      </c>
      <c r="E72" s="200">
        <v>1.0000000000000002</v>
      </c>
      <c r="F72" s="186">
        <v>1933.46</v>
      </c>
      <c r="G72" s="186">
        <v>2452.37</v>
      </c>
      <c r="H72" s="187">
        <v>2452.37</v>
      </c>
      <c r="I72" s="276">
        <f>H72/$H$114</f>
        <v>3.9843159911220971E-3</v>
      </c>
      <c r="J72" s="277">
        <f t="shared" si="0"/>
        <v>0.9344773949364249</v>
      </c>
      <c r="K72" s="278" t="str">
        <f>IF(J72&lt;=$N$39,"A",IF(J72&lt;=$N$40,"B","C"))</f>
        <v>B</v>
      </c>
      <c r="L72" s="157"/>
    </row>
    <row r="73" spans="2:12" ht="11.1" customHeight="1" x14ac:dyDescent="0.25">
      <c r="B73" s="335"/>
      <c r="C73" s="325" t="s">
        <v>266</v>
      </c>
      <c r="D73" s="279" t="s">
        <v>121</v>
      </c>
      <c r="E73" s="279">
        <v>26</v>
      </c>
      <c r="F73" s="280">
        <v>75.349999999999994</v>
      </c>
      <c r="G73" s="280">
        <v>92.100000000000009</v>
      </c>
      <c r="H73" s="281">
        <v>2394.6</v>
      </c>
      <c r="I73" s="276">
        <f>H73/$H$114</f>
        <v>3.8904582393117573E-3</v>
      </c>
      <c r="J73" s="277">
        <f t="shared" si="0"/>
        <v>0.93836785317573668</v>
      </c>
      <c r="K73" s="278" t="str">
        <f>IF(J73&lt;=$N$39,"A",IF(J73&lt;=$N$40,"B","C"))</f>
        <v>B</v>
      </c>
      <c r="L73" s="157"/>
    </row>
    <row r="74" spans="2:12" ht="11.1" customHeight="1" x14ac:dyDescent="0.25">
      <c r="B74" s="335"/>
      <c r="C74" s="290" t="s">
        <v>212</v>
      </c>
      <c r="D74" s="200" t="s">
        <v>126</v>
      </c>
      <c r="E74" s="200">
        <v>1.0000000000000002</v>
      </c>
      <c r="F74" s="186">
        <v>1841.4</v>
      </c>
      <c r="G74" s="186">
        <v>2335.61</v>
      </c>
      <c r="H74" s="187">
        <v>2335.61</v>
      </c>
      <c r="I74" s="276">
        <f>H74/$H$114</f>
        <v>3.7946183781503943E-3</v>
      </c>
      <c r="J74" s="277">
        <f t="shared" si="0"/>
        <v>0.9421624715538871</v>
      </c>
      <c r="K74" s="278" t="str">
        <f>IF(J74&lt;=$N$39,"A",IF(J74&lt;=$N$40,"B","C"))</f>
        <v>B</v>
      </c>
      <c r="L74" s="157"/>
    </row>
    <row r="75" spans="2:12" ht="11.1" customHeight="1" x14ac:dyDescent="0.25">
      <c r="B75" s="335"/>
      <c r="C75" s="325" t="s">
        <v>218</v>
      </c>
      <c r="D75" s="279" t="s">
        <v>126</v>
      </c>
      <c r="E75" s="279">
        <v>1.0000000000000002</v>
      </c>
      <c r="F75" s="186">
        <v>1788</v>
      </c>
      <c r="G75" s="186">
        <v>2267.87</v>
      </c>
      <c r="H75" s="187">
        <v>2267.87</v>
      </c>
      <c r="I75" s="276">
        <f>H75/$H$114</f>
        <v>3.6845625687747241E-3</v>
      </c>
      <c r="J75" s="277">
        <f t="shared" si="0"/>
        <v>0.9458470341226618</v>
      </c>
      <c r="K75" s="278" t="str">
        <f>IF(J75&lt;=$N$39,"A",IF(J75&lt;=$N$40,"B","C"))</f>
        <v>B</v>
      </c>
      <c r="L75" s="157"/>
    </row>
    <row r="76" spans="2:12" ht="11.1" customHeight="1" x14ac:dyDescent="0.25">
      <c r="B76" s="335"/>
      <c r="C76" s="325" t="s">
        <v>359</v>
      </c>
      <c r="D76" s="279" t="s">
        <v>126</v>
      </c>
      <c r="E76" s="279">
        <v>1</v>
      </c>
      <c r="F76" s="186">
        <v>1861.76</v>
      </c>
      <c r="G76" s="186">
        <v>2260.0700000000002</v>
      </c>
      <c r="H76" s="187">
        <v>2260.0700000000002</v>
      </c>
      <c r="I76" s="276">
        <f>H76/$H$114</f>
        <v>3.671890066366543E-3</v>
      </c>
      <c r="J76" s="277">
        <f t="shared" si="0"/>
        <v>0.94951892418902839</v>
      </c>
      <c r="K76" s="278" t="str">
        <f>IF(J76&lt;=$N$39,"A",IF(J76&lt;=$N$40,"B","C"))</f>
        <v>B</v>
      </c>
      <c r="L76" s="157"/>
    </row>
    <row r="77" spans="2:12" ht="11.1" customHeight="1" x14ac:dyDescent="0.25">
      <c r="B77" s="335"/>
      <c r="C77" s="291" t="s">
        <v>208</v>
      </c>
      <c r="D77" s="285" t="s">
        <v>117</v>
      </c>
      <c r="E77" s="285">
        <v>265</v>
      </c>
      <c r="F77" s="184">
        <v>6.73</v>
      </c>
      <c r="G77" s="184">
        <v>8.26</v>
      </c>
      <c r="H77" s="185">
        <v>2188.9</v>
      </c>
      <c r="I77" s="282">
        <f>H77/$H$114</f>
        <v>3.5562616052908654E-3</v>
      </c>
      <c r="J77" s="283">
        <f t="shared" si="0"/>
        <v>0.95307518579431927</v>
      </c>
      <c r="K77" s="284" t="str">
        <f>IF(J77&lt;=$N$39,"A",IF(J77&lt;=$N$40,"B","C"))</f>
        <v>C</v>
      </c>
      <c r="L77" s="157"/>
    </row>
    <row r="78" spans="2:12" ht="11.1" customHeight="1" x14ac:dyDescent="0.25">
      <c r="B78" s="335"/>
      <c r="C78" s="289" t="s">
        <v>388</v>
      </c>
      <c r="D78" s="201" t="s">
        <v>352</v>
      </c>
      <c r="E78" s="201">
        <v>1.0000000000000002</v>
      </c>
      <c r="F78" s="184">
        <v>1613.5</v>
      </c>
      <c r="G78" s="184">
        <v>2046.54</v>
      </c>
      <c r="H78" s="185">
        <v>2046.54</v>
      </c>
      <c r="I78" s="282">
        <f>H78/$H$114</f>
        <v>3.3249721895435911E-3</v>
      </c>
      <c r="J78" s="283">
        <f t="shared" si="0"/>
        <v>0.95640015798386291</v>
      </c>
      <c r="K78" s="284" t="str">
        <f>IF(J78&lt;=$N$39,"A",IF(J78&lt;=$N$40,"B","C"))</f>
        <v>C</v>
      </c>
      <c r="L78" s="157"/>
    </row>
    <row r="79" spans="2:12" ht="11.1" customHeight="1" x14ac:dyDescent="0.25">
      <c r="B79" s="335"/>
      <c r="C79" s="291" t="s">
        <v>310</v>
      </c>
      <c r="D79" s="285" t="s">
        <v>117</v>
      </c>
      <c r="E79" s="285">
        <v>75</v>
      </c>
      <c r="F79" s="286">
        <v>20.07</v>
      </c>
      <c r="G79" s="286">
        <v>24.91</v>
      </c>
      <c r="H79" s="287">
        <v>1868.25</v>
      </c>
      <c r="I79" s="282">
        <f>H79/$H$114</f>
        <v>3.035308028728886E-3</v>
      </c>
      <c r="J79" s="283">
        <f t="shared" si="0"/>
        <v>0.95943546601259178</v>
      </c>
      <c r="K79" s="284" t="str">
        <f>IF(J79&lt;=$N$39,"A",IF(J79&lt;=$N$40,"B","C"))</f>
        <v>C</v>
      </c>
      <c r="L79" s="157"/>
    </row>
    <row r="80" spans="2:12" ht="11.1" customHeight="1" x14ac:dyDescent="0.25">
      <c r="B80" s="335"/>
      <c r="C80" s="289" t="s">
        <v>236</v>
      </c>
      <c r="D80" s="201" t="s">
        <v>116</v>
      </c>
      <c r="E80" s="201">
        <v>12.5</v>
      </c>
      <c r="F80" s="184">
        <v>108.69</v>
      </c>
      <c r="G80" s="184">
        <v>133.44999999999999</v>
      </c>
      <c r="H80" s="185">
        <v>1668.13</v>
      </c>
      <c r="I80" s="282">
        <f>H80/$H$114</f>
        <v>2.7101771079692315E-3</v>
      </c>
      <c r="J80" s="283">
        <f t="shared" si="0"/>
        <v>0.96214564312056106</v>
      </c>
      <c r="K80" s="284" t="str">
        <f>IF(J80&lt;=$N$39,"A",IF(J80&lt;=$N$40,"B","C"))</f>
        <v>C</v>
      </c>
      <c r="L80" s="157"/>
    </row>
    <row r="81" spans="2:12" ht="11.1" customHeight="1" x14ac:dyDescent="0.25">
      <c r="B81" s="335"/>
      <c r="C81" s="291" t="s">
        <v>451</v>
      </c>
      <c r="D81" s="285" t="s">
        <v>119</v>
      </c>
      <c r="E81" s="285">
        <v>2.5</v>
      </c>
      <c r="F81" s="286">
        <v>545.86</v>
      </c>
      <c r="G81" s="286">
        <v>662.39</v>
      </c>
      <c r="H81" s="287">
        <v>1655.98</v>
      </c>
      <c r="I81" s="282">
        <f>H81/$H$114</f>
        <v>2.6904372484487949E-3</v>
      </c>
      <c r="J81" s="283">
        <f t="shared" si="0"/>
        <v>0.96483608036900981</v>
      </c>
      <c r="K81" s="284" t="str">
        <f>IF(J81&lt;=$N$39,"A",IF(J81&lt;=$N$40,"B","C"))</f>
        <v>C</v>
      </c>
      <c r="L81" s="157"/>
    </row>
    <row r="82" spans="2:12" ht="11.1" customHeight="1" x14ac:dyDescent="0.25">
      <c r="B82" s="335"/>
      <c r="C82" s="289" t="s">
        <v>79</v>
      </c>
      <c r="D82" s="201" t="s">
        <v>126</v>
      </c>
      <c r="E82" s="201">
        <v>1.0000000000000002</v>
      </c>
      <c r="F82" s="184">
        <v>1283.76</v>
      </c>
      <c r="G82" s="184">
        <v>1628.3</v>
      </c>
      <c r="H82" s="185">
        <v>1628.3</v>
      </c>
      <c r="I82" s="282">
        <f>H82/$H$114</f>
        <v>2.6454661116977092E-3</v>
      </c>
      <c r="J82" s="283">
        <f t="shared" si="0"/>
        <v>0.9674815464807075</v>
      </c>
      <c r="K82" s="284" t="str">
        <f>IF(J82&lt;=$N$39,"A",IF(J82&lt;=$N$40,"B","C"))</f>
        <v>C</v>
      </c>
      <c r="L82" s="157"/>
    </row>
    <row r="83" spans="2:12" ht="11.1" customHeight="1" x14ac:dyDescent="0.25">
      <c r="B83" s="335"/>
      <c r="C83" s="289" t="s">
        <v>450</v>
      </c>
      <c r="D83" s="201" t="s">
        <v>116</v>
      </c>
      <c r="E83" s="201">
        <v>12</v>
      </c>
      <c r="F83" s="184">
        <v>95.18</v>
      </c>
      <c r="G83" s="184">
        <v>119.24</v>
      </c>
      <c r="H83" s="185">
        <v>1430.88</v>
      </c>
      <c r="I83" s="282">
        <f>H83/$H$114</f>
        <v>2.3247218263870409E-3</v>
      </c>
      <c r="J83" s="283">
        <f t="shared" si="0"/>
        <v>0.96980626830709449</v>
      </c>
      <c r="K83" s="284" t="str">
        <f>IF(J83&lt;=$N$39,"A",IF(J83&lt;=$N$40,"B","C"))</f>
        <v>C</v>
      </c>
      <c r="L83" s="157"/>
    </row>
    <row r="84" spans="2:12" ht="11.1" customHeight="1" x14ac:dyDescent="0.25">
      <c r="B84" s="335"/>
      <c r="C84" s="289" t="s">
        <v>281</v>
      </c>
      <c r="D84" s="201" t="s">
        <v>126</v>
      </c>
      <c r="E84" s="201">
        <v>1.0000000000000002</v>
      </c>
      <c r="F84" s="184">
        <v>1117.5</v>
      </c>
      <c r="G84" s="184">
        <v>1417.42</v>
      </c>
      <c r="H84" s="185">
        <v>1417.42</v>
      </c>
      <c r="I84" s="282">
        <f>H84/$H$114</f>
        <v>2.3028536363339479E-3</v>
      </c>
      <c r="J84" s="283">
        <f t="shared" si="0"/>
        <v>0.97210912194342847</v>
      </c>
      <c r="K84" s="284" t="str">
        <f>IF(J84&lt;=$N$39,"A",IF(J84&lt;=$N$40,"B","C"))</f>
        <v>C</v>
      </c>
      <c r="L84" s="157"/>
    </row>
    <row r="85" spans="2:12" ht="11.1" customHeight="1" x14ac:dyDescent="0.25">
      <c r="B85" s="335"/>
      <c r="C85" s="289" t="s">
        <v>78</v>
      </c>
      <c r="D85" s="201" t="s">
        <v>126</v>
      </c>
      <c r="E85" s="201">
        <v>1.0000000000000002</v>
      </c>
      <c r="F85" s="184">
        <v>1069.8</v>
      </c>
      <c r="G85" s="184">
        <v>1356.92</v>
      </c>
      <c r="H85" s="185">
        <v>1356.92</v>
      </c>
      <c r="I85" s="282">
        <f>H85/$H$114</f>
        <v>2.2045605086807442E-3</v>
      </c>
      <c r="J85" s="283">
        <f t="shared" si="0"/>
        <v>0.97431368245210925</v>
      </c>
      <c r="K85" s="284" t="str">
        <f>IF(J85&lt;=$N$39,"A",IF(J85&lt;=$N$40,"B","C"))</f>
        <v>C</v>
      </c>
      <c r="L85" s="157"/>
    </row>
    <row r="86" spans="2:12" ht="11.1" customHeight="1" x14ac:dyDescent="0.25">
      <c r="B86" s="335"/>
      <c r="C86" s="291" t="s">
        <v>141</v>
      </c>
      <c r="D86" s="285" t="s">
        <v>126</v>
      </c>
      <c r="E86" s="285">
        <v>2</v>
      </c>
      <c r="F86" s="286">
        <v>532.37</v>
      </c>
      <c r="G86" s="286">
        <v>649.16</v>
      </c>
      <c r="H86" s="287">
        <v>1298.32</v>
      </c>
      <c r="I86" s="282">
        <f>H86/$H$114</f>
        <v>2.1093542726397896E-3</v>
      </c>
      <c r="J86" s="283">
        <f t="shared" si="0"/>
        <v>0.97642303672474906</v>
      </c>
      <c r="K86" s="284" t="str">
        <f>IF(J86&lt;=$N$39,"A",IF(J86&lt;=$N$40,"B","C"))</f>
        <v>C</v>
      </c>
      <c r="L86" s="157"/>
    </row>
    <row r="87" spans="2:12" ht="11.1" customHeight="1" x14ac:dyDescent="0.25">
      <c r="B87" s="335"/>
      <c r="C87" s="291" t="s">
        <v>397</v>
      </c>
      <c r="D87" s="285" t="s">
        <v>126</v>
      </c>
      <c r="E87" s="285">
        <v>4</v>
      </c>
      <c r="F87" s="286">
        <v>255.33999999999997</v>
      </c>
      <c r="G87" s="286">
        <v>313.39999999999998</v>
      </c>
      <c r="H87" s="287">
        <v>1253.5999999999999</v>
      </c>
      <c r="I87" s="282">
        <f>H87/$H$114</f>
        <v>2.0366985921662149E-3</v>
      </c>
      <c r="J87" s="283">
        <f t="shared" si="0"/>
        <v>0.97845973531691532</v>
      </c>
      <c r="K87" s="284" t="str">
        <f>IF(J87&lt;=$N$39,"A",IF(J87&lt;=$N$40,"B","C"))</f>
        <v>C</v>
      </c>
      <c r="L87" s="157"/>
    </row>
    <row r="88" spans="2:12" ht="11.1" customHeight="1" x14ac:dyDescent="0.25">
      <c r="B88" s="335"/>
      <c r="C88" s="291" t="s">
        <v>263</v>
      </c>
      <c r="D88" s="285" t="s">
        <v>117</v>
      </c>
      <c r="E88" s="285">
        <v>45</v>
      </c>
      <c r="F88" s="286">
        <v>21.36</v>
      </c>
      <c r="G88" s="286">
        <v>27.09</v>
      </c>
      <c r="H88" s="287">
        <v>1219.05</v>
      </c>
      <c r="I88" s="282">
        <f>H88/$H$114</f>
        <v>1.9805659052171544E-3</v>
      </c>
      <c r="J88" s="283">
        <f t="shared" si="0"/>
        <v>0.98044030122213244</v>
      </c>
      <c r="K88" s="284" t="str">
        <f>IF(J88&lt;=$N$39,"A",IF(J88&lt;=$N$40,"B","C"))</f>
        <v>C</v>
      </c>
      <c r="L88" s="157"/>
    </row>
    <row r="89" spans="2:12" ht="11.1" customHeight="1" x14ac:dyDescent="0.25">
      <c r="B89" s="335"/>
      <c r="C89" s="289" t="s">
        <v>289</v>
      </c>
      <c r="D89" s="201" t="s">
        <v>117</v>
      </c>
      <c r="E89" s="201">
        <v>180</v>
      </c>
      <c r="F89" s="184">
        <v>4.42</v>
      </c>
      <c r="G89" s="184">
        <v>5.4700000000000006</v>
      </c>
      <c r="H89" s="185">
        <v>984.6</v>
      </c>
      <c r="I89" s="282">
        <f>H89/$H$114</f>
        <v>1.5996597270635413E-3</v>
      </c>
      <c r="J89" s="283">
        <f t="shared" si="0"/>
        <v>0.98203996094919599</v>
      </c>
      <c r="K89" s="284" t="str">
        <f>IF(J89&lt;=$N$39,"A",IF(J89&lt;=$N$40,"B","C"))</f>
        <v>C</v>
      </c>
      <c r="L89" s="157"/>
    </row>
    <row r="90" spans="2:12" ht="11.1" customHeight="1" x14ac:dyDescent="0.25">
      <c r="B90" s="335"/>
      <c r="C90" s="289" t="s">
        <v>81</v>
      </c>
      <c r="D90" s="201" t="s">
        <v>116</v>
      </c>
      <c r="E90" s="201">
        <v>2.0000000000000004</v>
      </c>
      <c r="F90" s="184">
        <v>396.47</v>
      </c>
      <c r="G90" s="184">
        <v>486.64</v>
      </c>
      <c r="H90" s="185">
        <v>973.28</v>
      </c>
      <c r="I90" s="282">
        <f>H90/$H$114</f>
        <v>1.5812683517737187E-3</v>
      </c>
      <c r="J90" s="283">
        <f t="shared" si="0"/>
        <v>0.98362122930096973</v>
      </c>
      <c r="K90" s="284" t="str">
        <f>IF(J90&lt;=$N$39,"A",IF(J90&lt;=$N$40,"B","C"))</f>
        <v>C</v>
      </c>
      <c r="L90" s="157"/>
    </row>
    <row r="91" spans="2:12" ht="11.1" customHeight="1" x14ac:dyDescent="0.25">
      <c r="B91" s="335"/>
      <c r="C91" s="289" t="s">
        <v>240</v>
      </c>
      <c r="D91" s="201" t="s">
        <v>121</v>
      </c>
      <c r="E91" s="201">
        <v>90</v>
      </c>
      <c r="F91" s="184">
        <v>8.4400000000000013</v>
      </c>
      <c r="G91" s="184">
        <v>10.25</v>
      </c>
      <c r="H91" s="185">
        <v>922.5</v>
      </c>
      <c r="I91" s="282">
        <f>H91/$H$114</f>
        <v>1.4987671117368646E-3</v>
      </c>
      <c r="J91" s="283">
        <f t="shared" si="0"/>
        <v>0.98511999641270664</v>
      </c>
      <c r="K91" s="284" t="str">
        <f>IF(J91&lt;=$N$39,"A",IF(J91&lt;=$N$40,"B","C"))</f>
        <v>C</v>
      </c>
      <c r="L91" s="157"/>
    </row>
    <row r="92" spans="2:12" ht="11.1" customHeight="1" x14ac:dyDescent="0.25">
      <c r="B92" s="335"/>
      <c r="C92" s="289" t="s">
        <v>166</v>
      </c>
      <c r="D92" s="201" t="s">
        <v>117</v>
      </c>
      <c r="E92" s="201">
        <v>4</v>
      </c>
      <c r="F92" s="184">
        <v>157.44</v>
      </c>
      <c r="G92" s="184">
        <v>193.81</v>
      </c>
      <c r="H92" s="185">
        <v>775.24</v>
      </c>
      <c r="I92" s="282">
        <f>H92/$H$114</f>
        <v>1.2595167649895793E-3</v>
      </c>
      <c r="J92" s="283">
        <f t="shared" si="0"/>
        <v>0.98637951317769623</v>
      </c>
      <c r="K92" s="284" t="str">
        <f>IF(J92&lt;=$N$39,"A",IF(J92&lt;=$N$40,"B","C"))</f>
        <v>C</v>
      </c>
      <c r="L92" s="157"/>
    </row>
    <row r="93" spans="2:12" ht="11.1" customHeight="1" x14ac:dyDescent="0.25">
      <c r="B93" s="335"/>
      <c r="C93" s="289" t="s">
        <v>387</v>
      </c>
      <c r="D93" s="201" t="s">
        <v>117</v>
      </c>
      <c r="E93" s="201">
        <v>20</v>
      </c>
      <c r="F93" s="184">
        <v>30.85</v>
      </c>
      <c r="G93" s="184">
        <v>37.79</v>
      </c>
      <c r="H93" s="185">
        <v>755.8</v>
      </c>
      <c r="I93" s="282">
        <f>H93/$H$114</f>
        <v>1.2279329897568806E-3</v>
      </c>
      <c r="J93" s="283">
        <f t="shared" si="0"/>
        <v>0.98760744616745311</v>
      </c>
      <c r="K93" s="284" t="str">
        <f>IF(J93&lt;=$N$39,"A",IF(J93&lt;=$N$40,"B","C"))</f>
        <v>C</v>
      </c>
      <c r="L93" s="157"/>
    </row>
    <row r="94" spans="2:12" ht="11.1" customHeight="1" x14ac:dyDescent="0.25">
      <c r="B94" s="335"/>
      <c r="C94" s="289" t="s">
        <v>145</v>
      </c>
      <c r="D94" s="201" t="s">
        <v>126</v>
      </c>
      <c r="E94" s="201">
        <v>1</v>
      </c>
      <c r="F94" s="184">
        <v>549.91</v>
      </c>
      <c r="G94" s="184">
        <v>670.41</v>
      </c>
      <c r="H94" s="185">
        <v>670.41</v>
      </c>
      <c r="I94" s="282">
        <f>H94/$H$114</f>
        <v>1.0892015819832102E-3</v>
      </c>
      <c r="J94" s="283">
        <f t="shared" si="0"/>
        <v>0.98869664774943633</v>
      </c>
      <c r="K94" s="284" t="str">
        <f>IF(J94&lt;=$N$39,"A",IF(J94&lt;=$N$40,"B","C"))</f>
        <v>C</v>
      </c>
      <c r="L94" s="157"/>
    </row>
    <row r="95" spans="2:12" ht="11.1" customHeight="1" x14ac:dyDescent="0.25">
      <c r="B95" s="335"/>
      <c r="C95" s="289" t="s">
        <v>76</v>
      </c>
      <c r="D95" s="201" t="s">
        <v>126</v>
      </c>
      <c r="E95" s="201">
        <v>2.0000000000000004</v>
      </c>
      <c r="F95" s="184">
        <v>262.55</v>
      </c>
      <c r="G95" s="184">
        <v>333.01</v>
      </c>
      <c r="H95" s="185">
        <v>666.02</v>
      </c>
      <c r="I95" s="282">
        <f>H95/$H$114</f>
        <v>1.0820692376791183E-3</v>
      </c>
      <c r="J95" s="283">
        <f t="shared" si="0"/>
        <v>0.9897787169871155</v>
      </c>
      <c r="K95" s="284" t="str">
        <f>IF(J95&lt;=$N$39,"A",IF(J95&lt;=$N$40,"B","C"))</f>
        <v>C</v>
      </c>
      <c r="L95" s="157"/>
    </row>
    <row r="96" spans="2:12" ht="11.1" customHeight="1" x14ac:dyDescent="0.25">
      <c r="B96" s="335"/>
      <c r="C96" s="291" t="s">
        <v>381</v>
      </c>
      <c r="D96" s="285" t="s">
        <v>126</v>
      </c>
      <c r="E96" s="285">
        <v>1</v>
      </c>
      <c r="F96" s="184">
        <v>544.35</v>
      </c>
      <c r="G96" s="184">
        <v>664.16000000000008</v>
      </c>
      <c r="H96" s="185">
        <v>664.16000000000008</v>
      </c>
      <c r="I96" s="282">
        <f>H96/$H$114</f>
        <v>1.0790473332587059E-3</v>
      </c>
      <c r="J96" s="283">
        <f t="shared" si="0"/>
        <v>0.9908577643203742</v>
      </c>
      <c r="K96" s="284" t="str">
        <f>IF(J96&lt;=$N$39,"A",IF(J96&lt;=$N$40,"B","C"))</f>
        <v>C</v>
      </c>
      <c r="L96" s="157"/>
    </row>
    <row r="97" spans="2:12" ht="11.1" customHeight="1" x14ac:dyDescent="0.25">
      <c r="B97" s="335"/>
      <c r="C97" s="291" t="s">
        <v>325</v>
      </c>
      <c r="D97" s="285" t="s">
        <v>119</v>
      </c>
      <c r="E97" s="285">
        <v>5</v>
      </c>
      <c r="F97" s="286">
        <v>108.61</v>
      </c>
      <c r="G97" s="286">
        <v>132.41</v>
      </c>
      <c r="H97" s="287">
        <v>662.05000000000007</v>
      </c>
      <c r="I97" s="282">
        <f>H97/$H$114</f>
        <v>1.0756192588893131E-3</v>
      </c>
      <c r="J97" s="283">
        <f t="shared" si="0"/>
        <v>0.99193338357926353</v>
      </c>
      <c r="K97" s="284" t="str">
        <f>IF(J97&lt;=$N$39,"A",IF(J97&lt;=$N$40,"B","C"))</f>
        <v>C</v>
      </c>
      <c r="L97" s="157"/>
    </row>
    <row r="98" spans="2:12" ht="11.1" customHeight="1" x14ac:dyDescent="0.25">
      <c r="B98" s="335"/>
      <c r="C98" s="289" t="s">
        <v>257</v>
      </c>
      <c r="D98" s="201" t="s">
        <v>116</v>
      </c>
      <c r="E98" s="201">
        <v>150</v>
      </c>
      <c r="F98" s="184">
        <v>3.45</v>
      </c>
      <c r="G98" s="184">
        <v>4.2699999999999996</v>
      </c>
      <c r="H98" s="185">
        <v>640.5</v>
      </c>
      <c r="I98" s="282">
        <f>H98/$H$114</f>
        <v>1.0406074092872216E-3</v>
      </c>
      <c r="J98" s="283">
        <f t="shared" si="0"/>
        <v>0.99297399098855077</v>
      </c>
      <c r="K98" s="284" t="str">
        <f>IF(J98&lt;=$N$39,"A",IF(J98&lt;=$N$40,"B","C"))</f>
        <v>C</v>
      </c>
      <c r="L98" s="157"/>
    </row>
    <row r="99" spans="2:12" ht="11.1" customHeight="1" x14ac:dyDescent="0.25">
      <c r="B99" s="335"/>
      <c r="C99" s="291" t="s">
        <v>342</v>
      </c>
      <c r="D99" s="285" t="s">
        <v>116</v>
      </c>
      <c r="E99" s="285">
        <v>145</v>
      </c>
      <c r="F99" s="286">
        <v>3.38</v>
      </c>
      <c r="G99" s="286">
        <v>4.29</v>
      </c>
      <c r="H99" s="287">
        <v>622.04999999999995</v>
      </c>
      <c r="I99" s="282">
        <f>H99/$H$114</f>
        <v>1.010632067052484E-3</v>
      </c>
      <c r="J99" s="283">
        <f t="shared" si="0"/>
        <v>0.9939846230556032</v>
      </c>
      <c r="K99" s="284" t="str">
        <f>IF(J99&lt;=$N$39,"A",IF(J99&lt;=$N$40,"B","C"))</f>
        <v>C</v>
      </c>
      <c r="L99" s="157"/>
    </row>
    <row r="100" spans="2:12" ht="11.1" customHeight="1" x14ac:dyDescent="0.25">
      <c r="B100" s="335"/>
      <c r="C100" s="289" t="s">
        <v>331</v>
      </c>
      <c r="D100" s="201" t="s">
        <v>117</v>
      </c>
      <c r="E100" s="201">
        <v>2</v>
      </c>
      <c r="F100" s="184">
        <v>205.01999999999998</v>
      </c>
      <c r="G100" s="184">
        <v>252.62</v>
      </c>
      <c r="H100" s="185">
        <v>505.24</v>
      </c>
      <c r="I100" s="282">
        <f>H100/$H$114</f>
        <v>8.2085322009098479E-4</v>
      </c>
      <c r="J100" s="283">
        <f t="shared" si="0"/>
        <v>0.99480547627569416</v>
      </c>
      <c r="K100" s="284" t="str">
        <f>IF(J100&lt;=$N$39,"A",IF(J100&lt;=$N$40,"B","C"))</f>
        <v>C</v>
      </c>
      <c r="L100" s="157"/>
    </row>
    <row r="101" spans="2:12" ht="11.1" customHeight="1" x14ac:dyDescent="0.25">
      <c r="B101" s="335"/>
      <c r="C101" s="291" t="s">
        <v>40</v>
      </c>
      <c r="D101" s="285" t="s">
        <v>116</v>
      </c>
      <c r="E101" s="285">
        <v>495</v>
      </c>
      <c r="F101" s="286">
        <v>0.63</v>
      </c>
      <c r="G101" s="286">
        <v>0.8</v>
      </c>
      <c r="H101" s="287">
        <v>396</v>
      </c>
      <c r="I101" s="282">
        <f>H101/$H$114</f>
        <v>6.4337319918460537E-4</v>
      </c>
      <c r="J101" s="283">
        <f t="shared" si="0"/>
        <v>0.99544884947487877</v>
      </c>
      <c r="K101" s="284" t="str">
        <f>IF(J101&lt;=$N$39,"A",IF(J101&lt;=$N$40,"B","C"))</f>
        <v>C</v>
      </c>
      <c r="L101" s="157"/>
    </row>
    <row r="102" spans="2:12" ht="11.1" customHeight="1" x14ac:dyDescent="0.25">
      <c r="B102" s="335"/>
      <c r="C102" s="291" t="s">
        <v>205</v>
      </c>
      <c r="D102" s="285" t="s">
        <v>117</v>
      </c>
      <c r="E102" s="285">
        <v>15</v>
      </c>
      <c r="F102" s="286">
        <v>20.170000000000002</v>
      </c>
      <c r="G102" s="286">
        <v>24.77</v>
      </c>
      <c r="H102" s="287">
        <v>371.55</v>
      </c>
      <c r="I102" s="282">
        <f>H102/$H$114</f>
        <v>6.036497781743437E-4</v>
      </c>
      <c r="J102" s="283">
        <f t="shared" si="0"/>
        <v>0.99605249925305317</v>
      </c>
      <c r="K102" s="284" t="str">
        <f>IF(J102&lt;=$N$39,"A",IF(J102&lt;=$N$40,"B","C"))</f>
        <v>C</v>
      </c>
      <c r="L102" s="157"/>
    </row>
    <row r="103" spans="2:12" ht="11.1" customHeight="1" x14ac:dyDescent="0.25">
      <c r="B103" s="335"/>
      <c r="C103" s="291" t="s">
        <v>375</v>
      </c>
      <c r="D103" s="285" t="s">
        <v>116</v>
      </c>
      <c r="E103" s="285">
        <v>10</v>
      </c>
      <c r="F103" s="286">
        <v>27.73</v>
      </c>
      <c r="G103" s="286">
        <v>35.1</v>
      </c>
      <c r="H103" s="287">
        <v>351</v>
      </c>
      <c r="I103" s="282">
        <f>H103/$H$114</f>
        <v>5.7026260836817288E-4</v>
      </c>
      <c r="J103" s="283">
        <f t="shared" si="0"/>
        <v>0.99662276186142129</v>
      </c>
      <c r="K103" s="284" t="str">
        <f>IF(J103&lt;=$N$39,"A",IF(J103&lt;=$N$40,"B","C"))</f>
        <v>C</v>
      </c>
      <c r="L103" s="157"/>
    </row>
    <row r="104" spans="2:12" ht="11.1" customHeight="1" x14ac:dyDescent="0.25">
      <c r="B104" s="335"/>
      <c r="C104" s="291" t="s">
        <v>158</v>
      </c>
      <c r="D104" s="285" t="s">
        <v>117</v>
      </c>
      <c r="E104" s="285">
        <v>4</v>
      </c>
      <c r="F104" s="286">
        <v>70.33</v>
      </c>
      <c r="G104" s="286">
        <v>86.54</v>
      </c>
      <c r="H104" s="287">
        <v>346.16</v>
      </c>
      <c r="I104" s="282">
        <f>H104/$H$114</f>
        <v>5.6239915815591663E-4</v>
      </c>
      <c r="J104" s="283">
        <f t="shared" si="0"/>
        <v>0.99718516101957722</v>
      </c>
      <c r="K104" s="284" t="str">
        <f>IF(J104&lt;=$N$39,"A",IF(J104&lt;=$N$40,"B","C"))</f>
        <v>C</v>
      </c>
      <c r="L104" s="157"/>
    </row>
    <row r="105" spans="2:12" ht="11.1" customHeight="1" x14ac:dyDescent="0.25">
      <c r="B105" s="335"/>
      <c r="C105" s="378" t="s">
        <v>276</v>
      </c>
      <c r="D105" s="379" t="s">
        <v>116</v>
      </c>
      <c r="E105" s="379">
        <v>5</v>
      </c>
      <c r="F105" s="380">
        <v>43.99</v>
      </c>
      <c r="G105" s="380">
        <v>53.79</v>
      </c>
      <c r="H105" s="391">
        <v>268.95</v>
      </c>
      <c r="I105" s="326">
        <f>H105/$H$114</f>
        <v>4.3695763111287775E-4</v>
      </c>
      <c r="J105" s="283">
        <f t="shared" ref="J105:J113" si="1">I105+J104</f>
        <v>0.99762211865069006</v>
      </c>
      <c r="K105" s="284" t="str">
        <f>IF(J105&lt;=$N$39,"A",IF(J105&lt;=$N$40,"B","C"))</f>
        <v>C</v>
      </c>
      <c r="L105" s="157"/>
    </row>
    <row r="106" spans="2:12" ht="11.1" customHeight="1" x14ac:dyDescent="0.25">
      <c r="B106" s="335"/>
      <c r="C106" s="289" t="s">
        <v>227</v>
      </c>
      <c r="D106" s="201" t="s">
        <v>126</v>
      </c>
      <c r="E106" s="201">
        <v>12</v>
      </c>
      <c r="F106" s="184">
        <v>18.060000000000002</v>
      </c>
      <c r="G106" s="184">
        <v>22.23</v>
      </c>
      <c r="H106" s="185">
        <v>266.76</v>
      </c>
      <c r="I106" s="282">
        <f>H106/$H$114</f>
        <v>4.3339958235981136E-4</v>
      </c>
      <c r="J106" s="327">
        <f t="shared" si="1"/>
        <v>0.99805551823304983</v>
      </c>
      <c r="K106" s="328" t="str">
        <f>IF(J106&lt;=$N$39,"A",IF(J106&lt;=$N$40,"B","C"))</f>
        <v>C</v>
      </c>
      <c r="L106" s="157"/>
    </row>
    <row r="107" spans="2:12" ht="11.1" customHeight="1" x14ac:dyDescent="0.25">
      <c r="B107" s="335"/>
      <c r="C107" s="291" t="s">
        <v>367</v>
      </c>
      <c r="D107" s="285" t="s">
        <v>126</v>
      </c>
      <c r="E107" s="285">
        <v>1</v>
      </c>
      <c r="F107" s="184">
        <v>200.24</v>
      </c>
      <c r="G107" s="184">
        <v>247.82</v>
      </c>
      <c r="H107" s="185">
        <v>247.82</v>
      </c>
      <c r="I107" s="282">
        <f>H107/$H$114</f>
        <v>4.0262814702507292E-4</v>
      </c>
      <c r="J107" s="283">
        <f t="shared" si="1"/>
        <v>0.99845814638007491</v>
      </c>
      <c r="K107" s="284" t="str">
        <f>IF(J107&lt;=$N$39,"A",IF(J107&lt;=$N$40,"B","C"))</f>
        <v>C</v>
      </c>
      <c r="L107" s="157"/>
    </row>
    <row r="108" spans="2:12" ht="11.1" customHeight="1" x14ac:dyDescent="0.25">
      <c r="B108" s="335"/>
      <c r="C108" s="289" t="s">
        <v>177</v>
      </c>
      <c r="D108" s="201" t="s">
        <v>116</v>
      </c>
      <c r="E108" s="201">
        <v>8</v>
      </c>
      <c r="F108" s="184">
        <v>22.95</v>
      </c>
      <c r="G108" s="184">
        <v>28.57</v>
      </c>
      <c r="H108" s="185">
        <v>228.56</v>
      </c>
      <c r="I108" s="282">
        <f>H108/$H$114</f>
        <v>3.7133681415563987E-4</v>
      </c>
      <c r="J108" s="283">
        <f t="shared" si="1"/>
        <v>0.99882948319423059</v>
      </c>
      <c r="K108" s="284" t="str">
        <f>IF(J108&lt;=$N$39,"A",IF(J108&lt;=$N$40,"B","C"))</f>
        <v>C</v>
      </c>
      <c r="L108" s="157"/>
    </row>
    <row r="109" spans="2:12" ht="11.1" customHeight="1" x14ac:dyDescent="0.25">
      <c r="B109" s="335"/>
      <c r="C109" s="291" t="s">
        <v>368</v>
      </c>
      <c r="D109" s="285" t="s">
        <v>126</v>
      </c>
      <c r="E109" s="285">
        <v>1</v>
      </c>
      <c r="F109" s="286">
        <v>180.36</v>
      </c>
      <c r="G109" s="286">
        <v>223.75</v>
      </c>
      <c r="H109" s="287">
        <v>223.75</v>
      </c>
      <c r="I109" s="282">
        <f>H109/$H$114</f>
        <v>3.6352210433726124E-4</v>
      </c>
      <c r="J109" s="283">
        <f t="shared" si="1"/>
        <v>0.9991930052985678</v>
      </c>
      <c r="K109" s="284" t="str">
        <f>IF(J109&lt;=$N$39,"A",IF(J109&lt;=$N$40,"B","C"))</f>
        <v>C</v>
      </c>
      <c r="L109" s="157"/>
    </row>
    <row r="110" spans="2:12" ht="11.1" customHeight="1" x14ac:dyDescent="0.25">
      <c r="B110" s="335"/>
      <c r="C110" s="291" t="s">
        <v>390</v>
      </c>
      <c r="D110" s="285" t="s">
        <v>117</v>
      </c>
      <c r="E110" s="285">
        <v>10</v>
      </c>
      <c r="F110" s="286">
        <v>17.57</v>
      </c>
      <c r="G110" s="286">
        <v>22.29</v>
      </c>
      <c r="H110" s="185">
        <v>222.9</v>
      </c>
      <c r="I110" s="282">
        <f>H110/$H$114</f>
        <v>3.6214112651072861E-4</v>
      </c>
      <c r="J110" s="283">
        <f t="shared" si="1"/>
        <v>0.99955514642507848</v>
      </c>
      <c r="K110" s="284" t="str">
        <f>IF(J110&lt;=$N$39,"A",IF(J110&lt;=$N$40,"B","C"))</f>
        <v>C</v>
      </c>
      <c r="L110" s="157"/>
    </row>
    <row r="111" spans="2:12" ht="11.1" customHeight="1" x14ac:dyDescent="0.25">
      <c r="B111" s="335"/>
      <c r="C111" s="289" t="s">
        <v>246</v>
      </c>
      <c r="D111" s="201" t="s">
        <v>116</v>
      </c>
      <c r="E111" s="201">
        <v>3</v>
      </c>
      <c r="F111" s="184">
        <v>41.76</v>
      </c>
      <c r="G111" s="184">
        <v>52.97</v>
      </c>
      <c r="H111" s="185">
        <v>158.91</v>
      </c>
      <c r="I111" s="282">
        <f>H111/$H$114</f>
        <v>2.5817786636976169E-4</v>
      </c>
      <c r="J111" s="283">
        <f t="shared" si="1"/>
        <v>0.9998133242914482</v>
      </c>
      <c r="K111" s="284" t="str">
        <f>IF(J111&lt;=$N$39,"A",IF(J111&lt;=$N$40,"B","C"))</f>
        <v>C</v>
      </c>
      <c r="L111" s="157"/>
    </row>
    <row r="112" spans="2:12" ht="11.1" customHeight="1" x14ac:dyDescent="0.25">
      <c r="B112" s="335"/>
      <c r="C112" s="289" t="s">
        <v>274</v>
      </c>
      <c r="D112" s="201" t="s">
        <v>117</v>
      </c>
      <c r="E112" s="201">
        <v>3</v>
      </c>
      <c r="F112" s="184">
        <v>25.62</v>
      </c>
      <c r="G112" s="184">
        <v>31.369999999999997</v>
      </c>
      <c r="H112" s="185">
        <v>94.11</v>
      </c>
      <c r="I112" s="282">
        <f>H112/$H$114</f>
        <v>1.52898615594099E-4</v>
      </c>
      <c r="J112" s="283">
        <f t="shared" si="1"/>
        <v>0.99996622290704229</v>
      </c>
      <c r="K112" s="284" t="str">
        <f>IF(J112&lt;=$N$39,"A",IF(J112&lt;=$N$40,"B","C"))</f>
        <v>C</v>
      </c>
      <c r="L112" s="157"/>
    </row>
    <row r="113" spans="2:12" ht="11.1" customHeight="1" thickBot="1" x14ac:dyDescent="0.3">
      <c r="B113" s="335"/>
      <c r="C113" s="389" t="s">
        <v>389</v>
      </c>
      <c r="D113" s="390" t="s">
        <v>126</v>
      </c>
      <c r="E113" s="390">
        <v>1</v>
      </c>
      <c r="F113" s="387">
        <v>16.970000000000002</v>
      </c>
      <c r="G113" s="387">
        <v>20.79</v>
      </c>
      <c r="H113" s="388">
        <v>20.79</v>
      </c>
      <c r="I113" s="333">
        <f>H113/$H$114</f>
        <v>3.3777092957191775E-5</v>
      </c>
      <c r="J113" s="292">
        <f t="shared" si="1"/>
        <v>0.99999999999999944</v>
      </c>
      <c r="K113" s="293" t="str">
        <f>IF(J113&lt;=$N$39,"A",IF(J113&lt;=$N$40,"B","C"))</f>
        <v>C</v>
      </c>
      <c r="L113" s="157"/>
    </row>
    <row r="114" spans="2:12" ht="15.75" thickBot="1" x14ac:dyDescent="0.3">
      <c r="C114" s="329" t="s">
        <v>115</v>
      </c>
      <c r="D114" s="330"/>
      <c r="E114" s="330"/>
      <c r="F114" s="330"/>
      <c r="G114" s="330"/>
      <c r="H114" s="331">
        <f>SUM(H39:H113)</f>
        <v>615505.90000000037</v>
      </c>
      <c r="I114" s="332">
        <f>SUM(I39:I113)</f>
        <v>0.99999999999999944</v>
      </c>
    </row>
  </sheetData>
  <sortState xmlns:xlrd2="http://schemas.microsoft.com/office/spreadsheetml/2017/richdata2" ref="C39:K114">
    <sortCondition descending="1" ref="H113:H114"/>
  </sortState>
  <mergeCells count="12">
    <mergeCell ref="L5:AL5"/>
    <mergeCell ref="I2:L2"/>
    <mergeCell ref="F2:H2"/>
    <mergeCell ref="B1:AL1"/>
    <mergeCell ref="B5:E5"/>
    <mergeCell ref="F5:G5"/>
    <mergeCell ref="M2:AL2"/>
    <mergeCell ref="F3:AL3"/>
    <mergeCell ref="F4:AL4"/>
    <mergeCell ref="B2:E2"/>
    <mergeCell ref="B3:E3"/>
    <mergeCell ref="B4:E4"/>
  </mergeCells>
  <printOptions horizontalCentered="1" verticalCentered="1"/>
  <pageMargins left="0.15748031496062992" right="7.874015748031496E-2" top="0.19685039370078741" bottom="0.19685039370078741" header="0.31496062992125984" footer="0.31496062992125984"/>
  <pageSetup paperSize="8" scale="4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BC7D-8343-46E2-9DDB-2AAEB08F4A33}">
  <sheetPr>
    <pageSetUpPr fitToPage="1"/>
  </sheetPr>
  <dimension ref="A1:G49"/>
  <sheetViews>
    <sheetView zoomScale="50" zoomScaleNormal="50" workbookViewId="0">
      <selection activeCell="C14" sqref="C14:F14"/>
    </sheetView>
  </sheetViews>
  <sheetFormatPr defaultColWidth="50.7109375" defaultRowHeight="15" x14ac:dyDescent="0.25"/>
  <cols>
    <col min="1" max="1" width="60" customWidth="1"/>
    <col min="2" max="6" width="50.85546875" customWidth="1"/>
    <col min="7" max="7" width="25.7109375" customWidth="1"/>
  </cols>
  <sheetData>
    <row r="1" spans="1:7" x14ac:dyDescent="0.25">
      <c r="A1" s="352"/>
      <c r="B1" s="352"/>
      <c r="C1" s="352"/>
      <c r="D1" s="352"/>
      <c r="E1" s="352"/>
      <c r="F1" s="352"/>
      <c r="G1" s="352"/>
    </row>
    <row r="2" spans="1:7" ht="26.25" x14ac:dyDescent="0.25">
      <c r="A2" s="473" t="s">
        <v>421</v>
      </c>
      <c r="B2" s="473"/>
      <c r="C2" s="473"/>
      <c r="D2" s="473"/>
      <c r="E2" s="473"/>
      <c r="F2" s="352"/>
      <c r="G2" s="352"/>
    </row>
    <row r="3" spans="1:7" x14ac:dyDescent="0.25">
      <c r="A3" s="352"/>
      <c r="B3" s="352"/>
      <c r="C3" s="352"/>
      <c r="D3" s="352"/>
      <c r="E3" s="352"/>
      <c r="F3" s="352"/>
      <c r="G3" s="352"/>
    </row>
    <row r="4" spans="1:7" ht="15.75" thickBot="1" x14ac:dyDescent="0.3">
      <c r="A4" s="353"/>
      <c r="B4" s="353"/>
      <c r="C4" s="353"/>
      <c r="D4" s="353"/>
      <c r="E4" s="353"/>
      <c r="F4" s="353"/>
      <c r="G4" s="352"/>
    </row>
    <row r="5" spans="1:7" ht="35.1" customHeight="1" thickTop="1" x14ac:dyDescent="0.25">
      <c r="A5" s="354" t="s">
        <v>407</v>
      </c>
      <c r="B5" s="352"/>
      <c r="C5" s="354" t="s">
        <v>408</v>
      </c>
      <c r="D5" s="352"/>
      <c r="E5" s="352"/>
      <c r="F5" s="352"/>
      <c r="G5" s="352"/>
    </row>
    <row r="6" spans="1:7" ht="35.1" customHeight="1" x14ac:dyDescent="0.25">
      <c r="A6" s="352"/>
      <c r="B6" s="352"/>
      <c r="C6" s="352"/>
      <c r="D6" s="352"/>
      <c r="E6" s="352"/>
      <c r="F6" s="352"/>
      <c r="G6" s="352"/>
    </row>
    <row r="7" spans="1:7" ht="4.5" customHeight="1" x14ac:dyDescent="0.25">
      <c r="A7" s="352"/>
      <c r="B7" s="352"/>
      <c r="C7" s="352"/>
      <c r="D7" s="352"/>
      <c r="E7" s="352"/>
      <c r="F7" s="352"/>
      <c r="G7" s="352"/>
    </row>
    <row r="8" spans="1:7" ht="34.5" hidden="1" customHeight="1" x14ac:dyDescent="0.25">
      <c r="A8" s="352"/>
      <c r="B8" s="352"/>
      <c r="C8" s="352"/>
      <c r="D8" s="352"/>
      <c r="E8" s="352"/>
      <c r="F8" s="352"/>
      <c r="G8" s="352"/>
    </row>
    <row r="9" spans="1:7" ht="35.1" customHeight="1" thickBot="1" x14ac:dyDescent="0.3">
      <c r="A9" s="352"/>
      <c r="B9" s="352"/>
      <c r="C9" s="352"/>
      <c r="D9" s="352"/>
      <c r="E9" s="352"/>
      <c r="F9" s="352"/>
      <c r="G9" s="352"/>
    </row>
    <row r="10" spans="1:7" ht="35.1" customHeight="1" x14ac:dyDescent="0.25">
      <c r="A10" s="355" t="s">
        <v>409</v>
      </c>
      <c r="B10" s="474" t="s">
        <v>422</v>
      </c>
      <c r="C10" s="475"/>
      <c r="D10" s="475"/>
      <c r="E10" s="475"/>
      <c r="F10" s="476"/>
      <c r="G10" s="352"/>
    </row>
    <row r="11" spans="1:7" ht="35.1" customHeight="1" x14ac:dyDescent="0.25">
      <c r="A11" s="356" t="s">
        <v>410</v>
      </c>
      <c r="B11" s="477" t="s">
        <v>423</v>
      </c>
      <c r="C11" s="478"/>
      <c r="D11" s="478"/>
      <c r="E11" s="478"/>
      <c r="F11" s="479"/>
      <c r="G11" s="352"/>
    </row>
    <row r="12" spans="1:7" ht="35.1" customHeight="1" thickBot="1" x14ac:dyDescent="0.3">
      <c r="A12" s="357" t="s">
        <v>411</v>
      </c>
      <c r="B12" s="480" t="s">
        <v>424</v>
      </c>
      <c r="C12" s="481"/>
      <c r="D12" s="481"/>
      <c r="E12" s="481"/>
      <c r="F12" s="482"/>
      <c r="G12" s="352"/>
    </row>
    <row r="13" spans="1:7" ht="15.75" x14ac:dyDescent="0.25">
      <c r="A13" s="358"/>
      <c r="B13" s="358"/>
      <c r="C13" s="358"/>
      <c r="D13" s="358"/>
      <c r="E13" s="358"/>
      <c r="F13" s="352"/>
      <c r="G13" s="352"/>
    </row>
    <row r="14" spans="1:7" ht="23.25" x14ac:dyDescent="0.25">
      <c r="A14" s="483" t="s">
        <v>412</v>
      </c>
      <c r="B14" s="483"/>
      <c r="C14" s="484" t="s">
        <v>413</v>
      </c>
      <c r="D14" s="484"/>
      <c r="E14" s="484"/>
      <c r="F14" s="484"/>
      <c r="G14" s="352"/>
    </row>
    <row r="15" spans="1:7" ht="26.25" x14ac:dyDescent="0.25">
      <c r="A15" s="483"/>
      <c r="B15" s="483"/>
      <c r="C15" s="359" t="s">
        <v>414</v>
      </c>
      <c r="D15" s="359" t="s">
        <v>415</v>
      </c>
      <c r="E15" s="359" t="s">
        <v>416</v>
      </c>
      <c r="F15" s="359" t="s">
        <v>417</v>
      </c>
      <c r="G15" s="352"/>
    </row>
    <row r="16" spans="1:7" ht="35.1" customHeight="1" x14ac:dyDescent="0.25">
      <c r="A16" s="466" t="str">
        <f>'Planilha Analítica'!D7</f>
        <v>Serviços Preliminares e Instalações Provisórias</v>
      </c>
      <c r="B16" s="360">
        <f>'Planilha Analítica'!T7</f>
        <v>7571.9000000000005</v>
      </c>
      <c r="C16" s="361">
        <f>$B$16*C17</f>
        <v>6057.52</v>
      </c>
      <c r="D16" s="361">
        <f>$B$16*D17</f>
        <v>0</v>
      </c>
      <c r="E16" s="361">
        <f>$B$16*E17</f>
        <v>0</v>
      </c>
      <c r="F16" s="361">
        <f>$B$16*F17</f>
        <v>1514.38</v>
      </c>
      <c r="G16" s="352"/>
    </row>
    <row r="17" spans="1:7" ht="35.1" customHeight="1" x14ac:dyDescent="0.35">
      <c r="A17" s="467"/>
      <c r="B17" s="362">
        <v>1</v>
      </c>
      <c r="C17" s="363">
        <v>0.8</v>
      </c>
      <c r="D17" s="363">
        <v>0</v>
      </c>
      <c r="E17" s="363">
        <v>0</v>
      </c>
      <c r="F17" s="363">
        <v>0.2</v>
      </c>
      <c r="G17" s="364">
        <f>SUM(C17:F17)</f>
        <v>1</v>
      </c>
    </row>
    <row r="18" spans="1:7" ht="35.1" customHeight="1" x14ac:dyDescent="0.35">
      <c r="A18" s="466" t="str">
        <f>'Planilha Analítica'!D13</f>
        <v>Administração Local - Pessoal Indireto, Despesas com Equipe e Despesas Administrativas</v>
      </c>
      <c r="B18" s="360">
        <f>'Planilha Analítica'!T13</f>
        <v>56136.66</v>
      </c>
      <c r="C18" s="361">
        <f>$B$18*C19</f>
        <v>0</v>
      </c>
      <c r="D18" s="361">
        <f>$B$18*D19</f>
        <v>16840.998</v>
      </c>
      <c r="E18" s="361">
        <f>$B$18*E19</f>
        <v>16840.998</v>
      </c>
      <c r="F18" s="361">
        <f>$B$18*F19</f>
        <v>22454.664000000004</v>
      </c>
      <c r="G18" s="365"/>
    </row>
    <row r="19" spans="1:7" ht="35.1" customHeight="1" x14ac:dyDescent="0.35">
      <c r="A19" s="467"/>
      <c r="B19" s="362">
        <v>1</v>
      </c>
      <c r="C19" s="363">
        <v>0</v>
      </c>
      <c r="D19" s="363">
        <v>0.3</v>
      </c>
      <c r="E19" s="363">
        <v>0.3</v>
      </c>
      <c r="F19" s="363">
        <v>0.4</v>
      </c>
      <c r="G19" s="364">
        <f>SUM(C19:F19)</f>
        <v>1</v>
      </c>
    </row>
    <row r="20" spans="1:7" ht="35.1" customHeight="1" x14ac:dyDescent="0.35">
      <c r="A20" s="466" t="str">
        <f>'Planilha Analítica'!D16</f>
        <v>Equipamentos / Componentes Eletromecânicos</v>
      </c>
      <c r="B20" s="360">
        <f>'Planilha Analítica'!T16</f>
        <v>353409.58999999991</v>
      </c>
      <c r="C20" s="361">
        <f>$B$20*C21</f>
        <v>53011.438499999982</v>
      </c>
      <c r="D20" s="361">
        <f>$B$20*D21</f>
        <v>88352.397499999977</v>
      </c>
      <c r="E20" s="361">
        <f>$B$20*E21</f>
        <v>88352.397499999977</v>
      </c>
      <c r="F20" s="361">
        <f>$B$20*F21</f>
        <v>123693.35649999997</v>
      </c>
      <c r="G20" s="365"/>
    </row>
    <row r="21" spans="1:7" ht="35.1" customHeight="1" x14ac:dyDescent="0.35">
      <c r="A21" s="467"/>
      <c r="B21" s="362">
        <v>1</v>
      </c>
      <c r="C21" s="363">
        <v>0.15</v>
      </c>
      <c r="D21" s="363">
        <v>0.25</v>
      </c>
      <c r="E21" s="363">
        <v>0.25</v>
      </c>
      <c r="F21" s="363">
        <v>0.35</v>
      </c>
      <c r="G21" s="364">
        <f>SUM(C21:F21)</f>
        <v>1</v>
      </c>
    </row>
    <row r="22" spans="1:7" ht="35.1" customHeight="1" x14ac:dyDescent="0.35">
      <c r="A22" s="466" t="str">
        <f>'Planilha Analítica'!D30</f>
        <v>Rede Frigorífica e Acessórios - Sistema VRV</v>
      </c>
      <c r="B22" s="360">
        <f>'Planilha Analítica'!T30</f>
        <v>70835.069999999992</v>
      </c>
      <c r="C22" s="361">
        <f>$B$22*C23</f>
        <v>10625.260499999999</v>
      </c>
      <c r="D22" s="361">
        <f>$B$22*D23</f>
        <v>17708.767499999998</v>
      </c>
      <c r="E22" s="361">
        <f>$B$22*E23</f>
        <v>17708.767499999998</v>
      </c>
      <c r="F22" s="361">
        <f>$B$22*F23</f>
        <v>24792.274499999996</v>
      </c>
      <c r="G22" s="365"/>
    </row>
    <row r="23" spans="1:7" ht="35.1" customHeight="1" x14ac:dyDescent="0.35">
      <c r="A23" s="467"/>
      <c r="B23" s="362">
        <v>1</v>
      </c>
      <c r="C23" s="363">
        <v>0.15</v>
      </c>
      <c r="D23" s="363">
        <v>0.25</v>
      </c>
      <c r="E23" s="363">
        <v>0.25</v>
      </c>
      <c r="F23" s="363">
        <v>0.35</v>
      </c>
      <c r="G23" s="364">
        <f>SUM(C23:F23)</f>
        <v>1</v>
      </c>
    </row>
    <row r="24" spans="1:7" ht="35.1" customHeight="1" x14ac:dyDescent="0.35">
      <c r="A24" s="466" t="str">
        <f>'Planilha Analítica'!D44</f>
        <v>Redes de Distribuição de Ar - Dutos de Ar Externo e Acessórios</v>
      </c>
      <c r="B24" s="360">
        <f>'Planilha Analítica'!T44</f>
        <v>24092.07</v>
      </c>
      <c r="C24" s="361">
        <f>$B$24*C25</f>
        <v>3613.8105</v>
      </c>
      <c r="D24" s="361">
        <f>$B$24*D25</f>
        <v>6023.0174999999999</v>
      </c>
      <c r="E24" s="361">
        <f>$B$24*E25</f>
        <v>6023.0174999999999</v>
      </c>
      <c r="F24" s="361">
        <f>$B$24*F25</f>
        <v>8432.2245000000003</v>
      </c>
      <c r="G24" s="365"/>
    </row>
    <row r="25" spans="1:7" ht="35.1" customHeight="1" x14ac:dyDescent="0.35">
      <c r="A25" s="467"/>
      <c r="B25" s="366">
        <v>1</v>
      </c>
      <c r="C25" s="363">
        <v>0.15</v>
      </c>
      <c r="D25" s="363">
        <v>0.25</v>
      </c>
      <c r="E25" s="363">
        <v>0.25</v>
      </c>
      <c r="F25" s="363">
        <v>0.35</v>
      </c>
      <c r="G25" s="364">
        <f>SUM(C25:F25)</f>
        <v>1</v>
      </c>
    </row>
    <row r="26" spans="1:7" ht="35.1" customHeight="1" x14ac:dyDescent="0.35">
      <c r="A26" s="466" t="str">
        <f>'Planilha Analítica'!D50</f>
        <v>Instalações Elétricas - QFAC, Circuitos Terminais e Circuitos de Sinal entre Unidades I Automação</v>
      </c>
      <c r="B26" s="360">
        <f>'Planilha Analítica'!T50</f>
        <v>62962.600000000006</v>
      </c>
      <c r="C26" s="361">
        <f>$B$26*C27</f>
        <v>9444.3900000000012</v>
      </c>
      <c r="D26" s="361">
        <f>$B$26*D27</f>
        <v>15740.650000000001</v>
      </c>
      <c r="E26" s="361">
        <f>$B$26*E27</f>
        <v>15740.650000000001</v>
      </c>
      <c r="F26" s="361">
        <f>$B$26*F27</f>
        <v>22036.91</v>
      </c>
      <c r="G26" s="365"/>
    </row>
    <row r="27" spans="1:7" ht="35.1" customHeight="1" x14ac:dyDescent="0.35">
      <c r="A27" s="467"/>
      <c r="B27" s="362">
        <v>1</v>
      </c>
      <c r="C27" s="363">
        <v>0.15</v>
      </c>
      <c r="D27" s="363">
        <v>0.25</v>
      </c>
      <c r="E27" s="363">
        <v>0.25</v>
      </c>
      <c r="F27" s="363">
        <v>0.35</v>
      </c>
      <c r="G27" s="364">
        <f>SUM(C27:F27)</f>
        <v>1</v>
      </c>
    </row>
    <row r="28" spans="1:7" ht="35.1" customHeight="1" x14ac:dyDescent="0.35">
      <c r="A28" s="466" t="str">
        <f>'Planilha Analítica'!D64</f>
        <v>Serviços Complementares à Entrega da Instalação Eletromecânica</v>
      </c>
      <c r="B28" s="360">
        <f>'Planilha Analítica'!T64</f>
        <v>16810.36</v>
      </c>
      <c r="C28" s="361">
        <f>$B$28*C29</f>
        <v>0</v>
      </c>
      <c r="D28" s="361">
        <f>$B$28*D29</f>
        <v>5043.1080000000002</v>
      </c>
      <c r="E28" s="361">
        <f>$B$28*E29</f>
        <v>5043.1080000000002</v>
      </c>
      <c r="F28" s="361">
        <f>$B$28*F29</f>
        <v>6724.1440000000002</v>
      </c>
      <c r="G28" s="365"/>
    </row>
    <row r="29" spans="1:7" ht="35.1" customHeight="1" x14ac:dyDescent="0.35">
      <c r="A29" s="467"/>
      <c r="B29" s="362">
        <v>1</v>
      </c>
      <c r="C29" s="363">
        <v>0</v>
      </c>
      <c r="D29" s="363">
        <v>0.3</v>
      </c>
      <c r="E29" s="363">
        <v>0.3</v>
      </c>
      <c r="F29" s="363">
        <v>0.4</v>
      </c>
      <c r="G29" s="364">
        <f>SUM(C29:F29)</f>
        <v>1</v>
      </c>
    </row>
    <row r="30" spans="1:7" ht="35.1" customHeight="1" x14ac:dyDescent="0.35">
      <c r="A30" s="466" t="str">
        <f>'Planilha Analítica'!D74</f>
        <v>Obras Civis</v>
      </c>
      <c r="B30" s="360">
        <f>'Planilha Analítica'!T74</f>
        <v>23687.649999999998</v>
      </c>
      <c r="C30" s="361">
        <f>$B$30*C31</f>
        <v>3553.1474999999996</v>
      </c>
      <c r="D30" s="361">
        <f>$B$30*D31</f>
        <v>5921.9124999999995</v>
      </c>
      <c r="E30" s="361">
        <f>$B$30*E31</f>
        <v>5921.9124999999995</v>
      </c>
      <c r="F30" s="361">
        <f>$B$30*F31</f>
        <v>8290.677499999998</v>
      </c>
      <c r="G30" s="367"/>
    </row>
    <row r="31" spans="1:7" ht="35.1" customHeight="1" x14ac:dyDescent="0.35">
      <c r="A31" s="467"/>
      <c r="B31" s="366">
        <v>1</v>
      </c>
      <c r="C31" s="363">
        <v>0.15</v>
      </c>
      <c r="D31" s="363">
        <v>0.25</v>
      </c>
      <c r="E31" s="363">
        <v>0.25</v>
      </c>
      <c r="F31" s="363">
        <v>0.35</v>
      </c>
      <c r="G31" s="364">
        <f>SUM(C31:F31)</f>
        <v>1</v>
      </c>
    </row>
    <row r="32" spans="1:7" ht="35.1" customHeight="1" x14ac:dyDescent="0.35">
      <c r="A32" s="468" t="s">
        <v>418</v>
      </c>
      <c r="B32" s="469"/>
      <c r="C32" s="368">
        <f>C16+C18+C20+C22+C24+C26+C28+C30</f>
        <v>86305.566999999995</v>
      </c>
      <c r="D32" s="368">
        <f>D16+D18+D20+D22+D24+D26+D28+D30</f>
        <v>155630.851</v>
      </c>
      <c r="E32" s="368">
        <f>E16+E18+E20+E22+E24+E26+E28+E30</f>
        <v>155630.851</v>
      </c>
      <c r="F32" s="368">
        <f>F16+F18+F20+F22+F24+F26+F28+F30</f>
        <v>217938.63099999996</v>
      </c>
      <c r="G32" s="369"/>
    </row>
    <row r="33" spans="1:7" ht="35.1" customHeight="1" x14ac:dyDescent="0.25">
      <c r="A33" s="470" t="s">
        <v>419</v>
      </c>
      <c r="B33" s="471"/>
      <c r="C33" s="472">
        <f>B16+B18+B20+B22+B24+B26+B28+B30</f>
        <v>615505.89999999991</v>
      </c>
      <c r="D33" s="472"/>
      <c r="E33" s="472"/>
      <c r="F33" s="472"/>
      <c r="G33" s="352"/>
    </row>
    <row r="34" spans="1:7" ht="35.1" customHeight="1" thickBot="1" x14ac:dyDescent="0.3">
      <c r="A34" s="370"/>
      <c r="B34" s="370" t="s">
        <v>420</v>
      </c>
      <c r="C34" s="353"/>
      <c r="D34" s="353"/>
      <c r="E34" s="353"/>
      <c r="F34" s="353"/>
      <c r="G34" s="352"/>
    </row>
    <row r="35" spans="1:7" ht="15.75" thickTop="1" x14ac:dyDescent="0.25">
      <c r="A35" s="352"/>
      <c r="B35" s="352"/>
      <c r="C35" s="352"/>
      <c r="D35" s="352"/>
      <c r="E35" s="352"/>
      <c r="F35" s="352"/>
      <c r="G35" s="352"/>
    </row>
    <row r="36" spans="1:7" ht="20.25" x14ac:dyDescent="0.3">
      <c r="A36" s="371"/>
      <c r="B36" s="372"/>
      <c r="C36" s="372"/>
      <c r="D36" s="372"/>
      <c r="E36" s="372"/>
      <c r="F36" s="352"/>
      <c r="G36" s="352"/>
    </row>
    <row r="37" spans="1:7" ht="20.25" x14ac:dyDescent="0.3">
      <c r="A37" s="371" t="s">
        <v>441</v>
      </c>
      <c r="B37" s="372"/>
      <c r="C37" s="372"/>
      <c r="D37" s="372"/>
      <c r="E37" s="372"/>
      <c r="F37" s="352"/>
      <c r="G37" s="352"/>
    </row>
    <row r="38" spans="1:7" ht="20.25" x14ac:dyDescent="0.3">
      <c r="A38" s="375" t="s">
        <v>431</v>
      </c>
      <c r="B38" s="372" t="s">
        <v>432</v>
      </c>
      <c r="C38" s="372"/>
      <c r="D38" s="372"/>
      <c r="E38" s="372"/>
      <c r="F38" s="352"/>
      <c r="G38" s="352"/>
    </row>
    <row r="39" spans="1:7" ht="20.25" x14ac:dyDescent="0.3">
      <c r="A39" s="375" t="s">
        <v>433</v>
      </c>
      <c r="B39" s="372" t="s">
        <v>434</v>
      </c>
      <c r="C39" s="372"/>
      <c r="D39" s="372"/>
      <c r="E39" s="372"/>
      <c r="F39" s="352"/>
      <c r="G39" s="352"/>
    </row>
    <row r="40" spans="1:7" ht="20.25" x14ac:dyDescent="0.3">
      <c r="A40" s="375" t="s">
        <v>435</v>
      </c>
      <c r="B40" s="372" t="s">
        <v>437</v>
      </c>
      <c r="C40" s="372"/>
      <c r="D40" s="372"/>
      <c r="E40" s="372"/>
      <c r="F40" s="352"/>
      <c r="G40" s="352"/>
    </row>
    <row r="41" spans="1:7" ht="20.25" x14ac:dyDescent="0.3">
      <c r="A41" s="375" t="s">
        <v>436</v>
      </c>
      <c r="B41" s="465" t="s">
        <v>439</v>
      </c>
      <c r="C41" s="464"/>
      <c r="D41" s="464"/>
      <c r="E41" s="464"/>
      <c r="F41" s="352"/>
      <c r="G41" s="352"/>
    </row>
    <row r="42" spans="1:7" ht="20.25" x14ac:dyDescent="0.3">
      <c r="A42" s="375"/>
      <c r="B42" s="464" t="s">
        <v>440</v>
      </c>
      <c r="C42" s="464"/>
      <c r="D42" s="464"/>
      <c r="E42" s="464"/>
      <c r="F42" s="352"/>
      <c r="G42" s="352"/>
    </row>
    <row r="43" spans="1:7" ht="20.25" x14ac:dyDescent="0.3">
      <c r="A43" s="374"/>
      <c r="B43" s="372"/>
      <c r="C43" s="372"/>
      <c r="D43" s="372"/>
      <c r="E43" s="372"/>
      <c r="F43" s="352"/>
      <c r="G43" s="352"/>
    </row>
    <row r="44" spans="1:7" ht="20.25" x14ac:dyDescent="0.3">
      <c r="A44" s="375" t="s">
        <v>438</v>
      </c>
      <c r="B44" s="464" t="s">
        <v>442</v>
      </c>
      <c r="C44" s="464"/>
      <c r="D44" s="464"/>
      <c r="E44" s="464"/>
      <c r="F44" s="464"/>
      <c r="G44" s="352"/>
    </row>
    <row r="45" spans="1:7" ht="20.25" x14ac:dyDescent="0.3">
      <c r="A45" s="375"/>
      <c r="B45" s="372"/>
      <c r="C45" s="372"/>
      <c r="D45" s="372"/>
      <c r="E45" s="372"/>
      <c r="F45" s="352"/>
      <c r="G45" s="352"/>
    </row>
    <row r="46" spans="1:7" ht="20.25" x14ac:dyDescent="0.3">
      <c r="A46" s="375"/>
      <c r="B46" s="372"/>
      <c r="C46" s="373"/>
      <c r="D46" s="372"/>
      <c r="E46" s="372"/>
      <c r="F46" s="352"/>
      <c r="G46" s="352"/>
    </row>
    <row r="47" spans="1:7" ht="20.25" x14ac:dyDescent="0.3">
      <c r="A47" s="375"/>
      <c r="B47" s="372"/>
      <c r="C47" s="373"/>
      <c r="D47" s="372"/>
      <c r="E47" s="372"/>
      <c r="F47" s="352"/>
      <c r="G47" s="352"/>
    </row>
    <row r="48" spans="1:7" ht="20.25" x14ac:dyDescent="0.3">
      <c r="A48" s="377"/>
      <c r="B48" s="373"/>
      <c r="C48" s="376"/>
      <c r="D48" s="372"/>
      <c r="E48" s="372"/>
      <c r="F48" s="352"/>
      <c r="G48" s="352"/>
    </row>
    <row r="49" spans="1:7" ht="20.25" x14ac:dyDescent="0.3">
      <c r="A49" s="375"/>
      <c r="B49" s="372"/>
      <c r="C49" s="373"/>
      <c r="D49" s="372"/>
      <c r="E49" s="372"/>
      <c r="F49" s="352"/>
      <c r="G49" s="352"/>
    </row>
  </sheetData>
  <mergeCells count="20">
    <mergeCell ref="A26:A27"/>
    <mergeCell ref="A2:E2"/>
    <mergeCell ref="B10:F10"/>
    <mergeCell ref="B11:F11"/>
    <mergeCell ref="B12:F12"/>
    <mergeCell ref="A14:B15"/>
    <mergeCell ref="C14:F14"/>
    <mergeCell ref="A16:A17"/>
    <mergeCell ref="A18:A19"/>
    <mergeCell ref="A20:A21"/>
    <mergeCell ref="A22:A23"/>
    <mergeCell ref="A24:A25"/>
    <mergeCell ref="B42:E42"/>
    <mergeCell ref="B41:E41"/>
    <mergeCell ref="B44:F44"/>
    <mergeCell ref="A28:A29"/>
    <mergeCell ref="A30:A31"/>
    <mergeCell ref="A32:B32"/>
    <mergeCell ref="A33:B33"/>
    <mergeCell ref="C33:F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drawing r:id="rId2"/>
  <legacyDrawing r:id="rId3"/>
  <oleObjects>
    <mc:AlternateContent xmlns:mc="http://schemas.openxmlformats.org/markup-compatibility/2006">
      <mc:Choice Requires="x14">
        <oleObject progId="Paint.Picture" shapeId="5121" r:id="rId4">
          <objectPr defaultSize="0" autoPict="0" r:id="rId5">
            <anchor moveWithCells="1">
              <from>
                <xdr:col>0</xdr:col>
                <xdr:colOff>1685925</xdr:colOff>
                <xdr:row>4</xdr:row>
                <xdr:rowOff>190500</xdr:rowOff>
              </from>
              <to>
                <xdr:col>0</xdr:col>
                <xdr:colOff>3124200</xdr:colOff>
                <xdr:row>7</xdr:row>
                <xdr:rowOff>76200</xdr:rowOff>
              </to>
            </anchor>
          </objectPr>
        </oleObject>
      </mc:Choice>
      <mc:Fallback>
        <oleObject progId="Paint.Picture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Planilha Sintética</vt:lpstr>
      <vt:lpstr>Planilha Analítica</vt:lpstr>
      <vt:lpstr>Planilha de Composição</vt:lpstr>
      <vt:lpstr>Cálculo do BDI</vt:lpstr>
      <vt:lpstr>Curva ABC de Insumos</vt:lpstr>
      <vt:lpstr>Cronograma Físico-Financeiro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55119</cp:lastModifiedBy>
  <cp:lastPrinted>2023-12-12T18:05:43Z</cp:lastPrinted>
  <dcterms:created xsi:type="dcterms:W3CDTF">2019-11-16T16:46:28Z</dcterms:created>
  <dcterms:modified xsi:type="dcterms:W3CDTF">2024-06-19T16:42:07Z</dcterms:modified>
</cp:coreProperties>
</file>